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Users\rgolbach\Downloads\"/>
    </mc:Choice>
  </mc:AlternateContent>
  <xr:revisionPtr revIDLastSave="0" documentId="13_ncr:1_{4F75A1C4-AD44-4872-873E-43BCD756BEBC}" xr6:coauthVersionLast="47" xr6:coauthVersionMax="47" xr10:uidLastSave="{00000000-0000-0000-0000-000000000000}"/>
  <bookViews>
    <workbookView xWindow="-120" yWindow="-120" windowWidth="29040" windowHeight="15840" xr2:uid="{00000000-000D-0000-FFFF-FFFF00000000}"/>
  </bookViews>
  <sheets>
    <sheet name="Fee Quote" sheetId="16" r:id="rId1"/>
    <sheet name="List" sheetId="20" state="hidden" r:id="rId2"/>
    <sheet name="Impact Fee" sheetId="19" r:id="rId3"/>
    <sheet name="Valuation Table" sheetId="18" state="hidden" r:id="rId4"/>
    <sheet name="Permit Fees" sheetId="21" state="hidden" r:id="rId5"/>
    <sheet name="Permit Fees New WIP" sheetId="22" state="hidden" r:id="rId6"/>
  </sheets>
  <definedNames>
    <definedName name="_xlnm._FilterDatabase" localSheetId="2" hidden="1">'Impact Fee'!$A$1:$E$78</definedName>
    <definedName name="Area">List!$A$2:$A$4</definedName>
    <definedName name="Category">#REF!</definedName>
    <definedName name="Fire">#REF!</definedName>
    <definedName name="MeterNorth">#REF!</definedName>
    <definedName name="NorthFire">#REF!</definedName>
    <definedName name="NorthParks">#REF!</definedName>
    <definedName name="NorthParksRec">#REF!</definedName>
    <definedName name="NorthPolice">#REF!</definedName>
    <definedName name="NorthStreets">#REF!</definedName>
    <definedName name="Parks">#REF!</definedName>
    <definedName name="ParksCentral">#REF!</definedName>
    <definedName name="ParksFee">#REF!</definedName>
    <definedName name="_xlnm.Print_Area" localSheetId="0">'Fee Quote'!$A$1:$E$61</definedName>
    <definedName name="Type">List!$O$1:$O$6</definedName>
    <definedName name="Wastewater">#REF!</definedName>
    <definedName name="Water">#REF!</definedName>
    <definedName name="Zo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6" l="1"/>
  <c r="D32" i="16" l="1"/>
  <c r="D31" i="16"/>
  <c r="D5" i="16"/>
  <c r="E45" i="19" l="1"/>
  <c r="E44" i="19"/>
  <c r="E69" i="19"/>
  <c r="E43" i="16" s="1"/>
  <c r="E78" i="19"/>
  <c r="E42" i="16" s="1"/>
  <c r="B43" i="16"/>
  <c r="B42" i="16"/>
  <c r="E73" i="19"/>
  <c r="E37" i="16" s="1"/>
  <c r="E64" i="19"/>
  <c r="E38" i="16" s="1"/>
  <c r="B38" i="16" l="1"/>
  <c r="B37" i="16"/>
  <c r="C15" i="16"/>
  <c r="D24" i="16" s="1"/>
  <c r="E3" i="22" l="1"/>
  <c r="E4" i="22"/>
  <c r="E5" i="22"/>
  <c r="E6" i="22"/>
  <c r="E7" i="22"/>
  <c r="E8" i="22"/>
  <c r="E2" i="22"/>
  <c r="D57" i="19" l="1"/>
  <c r="D58" i="19" l="1"/>
  <c r="D77" i="19" l="1"/>
  <c r="D45" i="19"/>
  <c r="D44" i="19"/>
  <c r="D3" i="19"/>
  <c r="D4" i="19"/>
  <c r="D5" i="19"/>
  <c r="D6" i="19"/>
  <c r="D7" i="19"/>
  <c r="D8" i="19"/>
  <c r="D9" i="19"/>
  <c r="D10" i="19"/>
  <c r="D11" i="19"/>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D39" i="19"/>
  <c r="D40" i="19"/>
  <c r="D41" i="19"/>
  <c r="D42" i="19"/>
  <c r="D43" i="19"/>
  <c r="D46" i="19"/>
  <c r="D47" i="19"/>
  <c r="D48" i="19"/>
  <c r="D49" i="19"/>
  <c r="D50" i="19"/>
  <c r="D51" i="19"/>
  <c r="D52" i="19"/>
  <c r="D53" i="19"/>
  <c r="D54" i="19"/>
  <c r="D55" i="19"/>
  <c r="D56" i="19"/>
  <c r="D59" i="19"/>
  <c r="D60" i="19"/>
  <c r="D61" i="19"/>
  <c r="D62" i="19"/>
  <c r="D63" i="19"/>
  <c r="D65" i="19"/>
  <c r="D66" i="19"/>
  <c r="D67" i="19"/>
  <c r="D68" i="19"/>
  <c r="D70" i="19"/>
  <c r="D71" i="19"/>
  <c r="D72" i="19"/>
  <c r="D74" i="19"/>
  <c r="D75" i="19"/>
  <c r="D76" i="19"/>
  <c r="D2" i="19"/>
  <c r="C41" i="16" l="1"/>
  <c r="E41" i="16" s="1"/>
  <c r="E44" i="16" s="1"/>
  <c r="C43" i="16"/>
  <c r="C42" i="16"/>
  <c r="C36" i="16"/>
  <c r="E36" i="16" s="1"/>
  <c r="C37" i="16"/>
  <c r="C38" i="16"/>
  <c r="C46" i="16"/>
  <c r="C30" i="16"/>
  <c r="E39" i="16" l="1"/>
  <c r="D26" i="16"/>
  <c r="D25" i="16"/>
  <c r="D27" i="16"/>
  <c r="B47" i="16"/>
  <c r="C47" i="16" s="1"/>
  <c r="B32" i="16"/>
  <c r="C32" i="16" s="1"/>
  <c r="E32" i="16" s="1"/>
  <c r="B31" i="16"/>
  <c r="C31" i="16" s="1"/>
  <c r="E5" i="16" l="1"/>
  <c r="E50" i="16" l="1"/>
  <c r="E51" i="16" s="1"/>
  <c r="C24" i="16"/>
  <c r="B27" i="16"/>
  <c r="C27" i="16" s="1"/>
  <c r="B26" i="16"/>
  <c r="C26" i="16" s="1"/>
  <c r="B25" i="16"/>
  <c r="C25" i="16" s="1"/>
  <c r="E47" i="16" l="1"/>
  <c r="E46" i="16"/>
  <c r="D11" i="16"/>
  <c r="E11" i="16" s="1"/>
  <c r="D9" i="16"/>
  <c r="E9" i="16" s="1"/>
  <c r="E7" i="16"/>
  <c r="E15" i="16" l="1"/>
  <c r="E25" i="16"/>
  <c r="E24" i="16"/>
  <c r="E27" i="16"/>
  <c r="E26" i="16"/>
  <c r="E48" i="16"/>
  <c r="E16" i="16" l="1"/>
  <c r="E18" i="16" s="1"/>
  <c r="P16" i="16"/>
  <c r="P5" i="16" l="1"/>
  <c r="I3" i="21" l="1"/>
  <c r="I5" i="21" l="1"/>
  <c r="D9" i="21" s="1"/>
  <c r="P24" i="16"/>
  <c r="F10" i="21" l="1"/>
  <c r="F9" i="21"/>
  <c r="D10" i="21"/>
  <c r="E28" i="16"/>
  <c r="P25" i="16"/>
  <c r="P23" i="16"/>
  <c r="E30" i="16"/>
  <c r="J10" i="21" l="1"/>
  <c r="I9" i="21"/>
  <c r="K10" i="21" l="1"/>
  <c r="I10" i="21" s="1"/>
  <c r="I12" i="21" s="1"/>
  <c r="D14" i="21" l="1"/>
  <c r="I14" i="21" s="1"/>
  <c r="E21" i="16" s="1"/>
  <c r="E20" i="16"/>
  <c r="E22" i="16" l="1"/>
  <c r="E31" i="16"/>
  <c r="E33" i="16" s="1"/>
  <c r="E52" i="16" l="1"/>
  <c r="E5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 Williams</author>
  </authors>
  <commentList>
    <comment ref="B3" authorId="0" shapeId="0" xr:uid="{00000000-0006-0000-0000-000001000000}">
      <text>
        <r>
          <rPr>
            <b/>
            <sz val="9"/>
            <color indexed="81"/>
            <rFont val="Tahoma"/>
            <family val="2"/>
          </rPr>
          <t>Please choose one of the options for Area of Goodyear.</t>
        </r>
        <r>
          <rPr>
            <sz val="9"/>
            <color indexed="81"/>
            <rFont val="Tahoma"/>
            <family val="2"/>
          </rPr>
          <t xml:space="preserve">
</t>
        </r>
      </text>
    </comment>
    <comment ref="B56" authorId="0" shapeId="0" xr:uid="{00000000-0006-0000-0000-000003000000}">
      <text>
        <r>
          <rPr>
            <b/>
            <sz val="9"/>
            <color indexed="81"/>
            <rFont val="Tahoma"/>
            <family val="2"/>
          </rPr>
          <t>You must type your name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Bobbie Fulbright</author>
  </authors>
  <commentList>
    <comment ref="D1" authorId="0" shapeId="0" xr:uid="{8FFDBF06-FC0C-47D6-A2B2-941171510705}">
      <text>
        <r>
          <rPr>
            <b/>
            <sz val="9"/>
            <color indexed="81"/>
            <rFont val="Tahoma"/>
            <family val="2"/>
          </rPr>
          <t>Bobbie Fulbright:</t>
        </r>
        <r>
          <rPr>
            <sz val="9"/>
            <color indexed="81"/>
            <rFont val="Tahoma"/>
            <family val="2"/>
          </rPr>
          <t xml:space="preserve">
Do not change fomulas here. They will self populate. Change the three columns to the left and the one to the right.</t>
        </r>
      </text>
    </comment>
  </commentList>
</comments>
</file>

<file path=xl/sharedStrings.xml><?xml version="1.0" encoding="utf-8"?>
<sst xmlns="http://schemas.openxmlformats.org/spreadsheetml/2006/main" count="494" uniqueCount="183">
  <si>
    <t>Sub-Total</t>
  </si>
  <si>
    <t>Address/APN:</t>
  </si>
  <si>
    <t>Building Valuation</t>
  </si>
  <si>
    <t>"This quote is based on the information provided herein and is no way binding.  The building 
  permit and development impact fees are those fees effective as of the quote date.  Actual fees 
  shall be determined based upon review of the approved sealed plans."</t>
  </si>
  <si>
    <t xml:space="preserve">  Building permit and plan review fees are calculated based off this valuation.</t>
  </si>
  <si>
    <t>Total Project Valuation</t>
  </si>
  <si>
    <t>Quantity</t>
  </si>
  <si>
    <t>Total Fees</t>
  </si>
  <si>
    <t>Estimated Balance Due at Permit Issuance</t>
  </si>
  <si>
    <t>Square Footage</t>
  </si>
  <si>
    <r>
      <t xml:space="preserve">   </t>
    </r>
    <r>
      <rPr>
        <sz val="8"/>
        <rFont val="Arial"/>
        <family val="2"/>
      </rPr>
      <t xml:space="preserve">Valuation will be determined by using the most recent ICC Valuation Data. </t>
    </r>
    <r>
      <rPr>
        <i/>
        <sz val="8"/>
        <rFont val="Arial"/>
        <family val="2"/>
      </rPr>
      <t>Subject to change from quote.</t>
    </r>
  </si>
  <si>
    <t xml:space="preserve">ICC BVD
</t>
  </si>
  <si>
    <t>Fire</t>
  </si>
  <si>
    <t>Police</t>
  </si>
  <si>
    <t>Parks and Recreation</t>
  </si>
  <si>
    <t>Streets</t>
  </si>
  <si>
    <t>North</t>
  </si>
  <si>
    <t>South</t>
  </si>
  <si>
    <t>Central</t>
  </si>
  <si>
    <t>Water</t>
  </si>
  <si>
    <t>Wastewater</t>
  </si>
  <si>
    <t>Site Lighting Valuation</t>
  </si>
  <si>
    <t>Sanitation</t>
  </si>
  <si>
    <t>Account Activation Fee</t>
  </si>
  <si>
    <t>Project Name:</t>
  </si>
  <si>
    <t xml:space="preserve">Fees Calculated by:  </t>
  </si>
  <si>
    <t>Industrial</t>
  </si>
  <si>
    <t>Commercial</t>
  </si>
  <si>
    <t>Institutional</t>
  </si>
  <si>
    <t>Office and Other</t>
  </si>
  <si>
    <t>Zone</t>
  </si>
  <si>
    <t>Category</t>
  </si>
  <si>
    <t>Type</t>
  </si>
  <si>
    <t>Price</t>
  </si>
  <si>
    <t>Comb</t>
  </si>
  <si>
    <t>Meter</t>
  </si>
  <si>
    <t>1.5 Displacement</t>
  </si>
  <si>
    <t>0.75 Displacement</t>
  </si>
  <si>
    <t>1 Displacement</t>
  </si>
  <si>
    <t>3 Compound</t>
  </si>
  <si>
    <t>4 Compound</t>
  </si>
  <si>
    <t>IA</t>
  </si>
  <si>
    <t>IB</t>
  </si>
  <si>
    <t>IIA</t>
  </si>
  <si>
    <t>IIB</t>
  </si>
  <si>
    <t>IIIA</t>
  </si>
  <si>
    <t>IIIB</t>
  </si>
  <si>
    <t>IV</t>
  </si>
  <si>
    <t>VA</t>
  </si>
  <si>
    <t>VB</t>
  </si>
  <si>
    <t>A-1 Assembly, theaters, with stage</t>
  </si>
  <si>
    <t>A-1 Assembly, theaters, without stage</t>
  </si>
  <si>
    <t>A-2 Assembly, nightclubs</t>
  </si>
  <si>
    <t>A-2 Assembly, restaurants, bars, banquet halls</t>
  </si>
  <si>
    <t>A-3 Assembly, churches</t>
  </si>
  <si>
    <t>A-3 Assembly, general, community halls, libraries, museums</t>
  </si>
  <si>
    <t>A-4 Assembly, arenas</t>
  </si>
  <si>
    <t>B Business</t>
  </si>
  <si>
    <t>E Educational</t>
  </si>
  <si>
    <t>F-1 Factory and industrial, moderate hazard</t>
  </si>
  <si>
    <t>F-2 Factory and industrial, low hazard</t>
  </si>
  <si>
    <t>H-1 High Hazard, explosives</t>
  </si>
  <si>
    <t>H234 High Hazard</t>
  </si>
  <si>
    <t>H-5 HPM</t>
  </si>
  <si>
    <t>I-1 Institutional, supervised environment</t>
  </si>
  <si>
    <t>I-2 Institutional, hospitals</t>
  </si>
  <si>
    <t>I-2 Institutional, nursing homes</t>
  </si>
  <si>
    <t>I-3 Institutional, restrained</t>
  </si>
  <si>
    <t>I-4 Institutional, day care facilities</t>
  </si>
  <si>
    <t>M Mercantile</t>
  </si>
  <si>
    <t>R-1 Residential, hotels</t>
  </si>
  <si>
    <t>R-2 Residential, multiple family</t>
  </si>
  <si>
    <t>R-3 Residential, one- and two-family</t>
  </si>
  <si>
    <t>R-4 Residential, care/assisted living facilities</t>
  </si>
  <si>
    <t>S-1 Storage, moderate hazard</t>
  </si>
  <si>
    <t>S-2 Storage, low hazard</t>
  </si>
  <si>
    <t>U Utility, miscellaneous</t>
  </si>
  <si>
    <t>Total Fee</t>
  </si>
  <si>
    <t>Construction Type:</t>
  </si>
  <si>
    <t>Area of Goodyear:</t>
  </si>
  <si>
    <t>Area</t>
  </si>
  <si>
    <t>Code</t>
  </si>
  <si>
    <t xml:space="preserve">Occupancy type: </t>
  </si>
  <si>
    <t>Occupancy type:</t>
  </si>
  <si>
    <t>Fee</t>
  </si>
  <si>
    <t>Shell</t>
  </si>
  <si>
    <t>Meter 0.75 Displacement</t>
  </si>
  <si>
    <t>Meter 1 Displacement</t>
  </si>
  <si>
    <t>Meter 1.5 Displacement</t>
  </si>
  <si>
    <t>Meter 3 Compound</t>
  </si>
  <si>
    <t>Meter 4 Compound</t>
  </si>
  <si>
    <t>Wastewater 0.75 Displacement</t>
  </si>
  <si>
    <t>Wastewater 1 Displacement</t>
  </si>
  <si>
    <t>Wastewater 1.5 Displacement</t>
  </si>
  <si>
    <t>Wastewater 3 Compound</t>
  </si>
  <si>
    <t>Wastewater 4 Compound</t>
  </si>
  <si>
    <t>Water 0.75 Displacement</t>
  </si>
  <si>
    <t>Water 1 Displacement</t>
  </si>
  <si>
    <t>Water 1.5 Displacement</t>
  </si>
  <si>
    <t>Water 1.5 Turbine</t>
  </si>
  <si>
    <t>Water 3 Compound</t>
  </si>
  <si>
    <t>Water 4 Compound</t>
  </si>
  <si>
    <t>Size (inches)</t>
  </si>
  <si>
    <t>Development Impact Fee:</t>
  </si>
  <si>
    <t>Account Fee Zone</t>
  </si>
  <si>
    <t>CALCULATED</t>
  </si>
  <si>
    <t>*</t>
  </si>
  <si>
    <t>WORKSHEET TOTAL</t>
  </si>
  <si>
    <t>=</t>
  </si>
  <si>
    <t>ROUND UP</t>
  </si>
  <si>
    <t>FEES PER CITY TABLE</t>
  </si>
  <si>
    <t>FIRST</t>
  </si>
  <si>
    <t>@</t>
  </si>
  <si>
    <t>REMAINING</t>
  </si>
  <si>
    <t>BUILDING PERMIT FEE</t>
  </si>
  <si>
    <t>PLAN REVIEW FEE</t>
  </si>
  <si>
    <t>%</t>
  </si>
  <si>
    <t>Fees Based on Valuation</t>
  </si>
  <si>
    <t>Total (Pre-Shell and Lighting):</t>
  </si>
  <si>
    <t>New Construction</t>
  </si>
  <si>
    <t>Tenant  Improvement</t>
  </si>
  <si>
    <t>Type of Construction</t>
  </si>
  <si>
    <t>Project Type:
(20% Reduction for Shell if applicable)</t>
  </si>
  <si>
    <t>Additional</t>
  </si>
  <si>
    <t>Per</t>
  </si>
  <si>
    <t>Less Than</t>
  </si>
  <si>
    <t>Title</t>
  </si>
  <si>
    <t>C of C Fee</t>
  </si>
  <si>
    <t>C of O Fee</t>
  </si>
  <si>
    <t>Date Calculated:</t>
  </si>
  <si>
    <t>Meter Fee Options</t>
  </si>
  <si>
    <t>Custom:</t>
  </si>
  <si>
    <t xml:space="preserve"> </t>
  </si>
  <si>
    <t>Building Permit Fees</t>
  </si>
  <si>
    <t>Plan Review Fees</t>
  </si>
  <si>
    <t>6 Compound</t>
  </si>
  <si>
    <t>8 Compound</t>
  </si>
  <si>
    <t>Wastewater 6 Compound</t>
  </si>
  <si>
    <t>Water 6 Compound</t>
  </si>
  <si>
    <t>Wastewater 8 Compound</t>
  </si>
  <si>
    <t>Water 8 Compound</t>
  </si>
  <si>
    <t>2 Displacement</t>
  </si>
  <si>
    <t>2 Turbine l/s</t>
  </si>
  <si>
    <t>3 Turbine l/s</t>
  </si>
  <si>
    <t>4 Turbine l/s</t>
  </si>
  <si>
    <t>Meter 2 Displacement</t>
  </si>
  <si>
    <t>1.5 Turbine l/s</t>
  </si>
  <si>
    <t>Meter 1.5 Turbine l/s</t>
  </si>
  <si>
    <t>Meter 2 Turbine l/s</t>
  </si>
  <si>
    <t>Meter 3 Turbine l/s</t>
  </si>
  <si>
    <t>Meter 4 Turbine l/s</t>
  </si>
  <si>
    <t>Meter 6 Coimpound</t>
  </si>
  <si>
    <t>Meter 8 Compound</t>
  </si>
  <si>
    <t>Wastewater 2 Displacement</t>
  </si>
  <si>
    <t>Water 2 Displacement</t>
  </si>
  <si>
    <t>Water 2 Turbine l/s</t>
  </si>
  <si>
    <t>Water 3 Turbine l/s</t>
  </si>
  <si>
    <t>Water 4 Turbine l/s</t>
  </si>
  <si>
    <t>6 Turbine l/s</t>
  </si>
  <si>
    <t>8 Turbine l/s</t>
  </si>
  <si>
    <t>Meter 8 Turbine l/s</t>
  </si>
  <si>
    <t>Meter 6 Turbine l/s</t>
  </si>
  <si>
    <t>Water 6 Turbine l/s</t>
  </si>
  <si>
    <t>Water 8 Turbine l/s</t>
  </si>
  <si>
    <t xml:space="preserve">1K </t>
  </si>
  <si>
    <t>Application Fee</t>
  </si>
  <si>
    <t>GPD</t>
  </si>
  <si>
    <t>Meters 2+</t>
  </si>
  <si>
    <t>NorthWater Meters Larger than 1.50</t>
  </si>
  <si>
    <t>SouthWater Meters Larger than 1.50</t>
  </si>
  <si>
    <t>NorthWasteWater Meters Larger than 1.50</t>
  </si>
  <si>
    <t>SouthWasteWater Meters Larger than 1.50</t>
  </si>
  <si>
    <t>North Water Rate</t>
  </si>
  <si>
    <t>South Water Rate</t>
  </si>
  <si>
    <t>North WasteWater Rate</t>
  </si>
  <si>
    <t>South WasteWater Rate</t>
  </si>
  <si>
    <t>Meter Fees: Up to 1.50 inches</t>
  </si>
  <si>
    <t>Meter Fees: Greater than 1.50 inches</t>
  </si>
  <si>
    <t>North Zone:</t>
  </si>
  <si>
    <t>South Zone:</t>
  </si>
  <si>
    <t>Group (2015 International Building Code)</t>
  </si>
  <si>
    <t xml:space="preserve">  Development Impact Fees - Effective April 1, 2019 - Form Version: 2024 3.6.2024</t>
  </si>
  <si>
    <t>Landscape Meter Fees under 2 inch in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</si>
</sst>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00"/>
  </numFmts>
  <fonts count="25" x14ac:knownFonts="1">
    <font>
      <sz val="10"/>
      <name val="Arial"/>
    </font>
    <font>
      <b/>
      <sz val="16"/>
      <name val="Arial"/>
      <family val="2"/>
    </font>
    <font>
      <b/>
      <sz val="10"/>
      <name val="Arial"/>
      <family val="2"/>
    </font>
    <font>
      <sz val="10"/>
      <name val="Arial"/>
      <family val="2"/>
    </font>
    <font>
      <sz val="12"/>
      <name val="Arial"/>
      <family val="2"/>
    </font>
    <font>
      <b/>
      <sz val="12"/>
      <color indexed="8"/>
      <name val="Arial"/>
      <family val="2"/>
    </font>
    <font>
      <b/>
      <sz val="12"/>
      <name val="Arial"/>
      <family val="2"/>
    </font>
    <font>
      <sz val="12"/>
      <color indexed="8"/>
      <name val="Arial"/>
      <family val="2"/>
    </font>
    <font>
      <b/>
      <sz val="8"/>
      <color indexed="8"/>
      <name val="Arial"/>
      <family val="2"/>
    </font>
    <font>
      <sz val="12"/>
      <color theme="1"/>
      <name val="Arial"/>
      <family val="2"/>
    </font>
    <font>
      <b/>
      <sz val="14"/>
      <color theme="1"/>
      <name val="Arial"/>
      <family val="2"/>
    </font>
    <font>
      <b/>
      <sz val="16"/>
      <color indexed="8"/>
      <name val="Arial"/>
      <family val="2"/>
    </font>
    <font>
      <b/>
      <sz val="12"/>
      <color theme="1"/>
      <name val="Arial"/>
      <family val="2"/>
    </font>
    <font>
      <sz val="8"/>
      <name val="Arial"/>
      <family val="2"/>
    </font>
    <font>
      <b/>
      <sz val="14"/>
      <color rgb="FFFF0000"/>
      <name val="Arial"/>
      <family val="2"/>
    </font>
    <font>
      <b/>
      <sz val="12"/>
      <color rgb="FFFF0000"/>
      <name val="Arial"/>
      <family val="2"/>
    </font>
    <font>
      <vertAlign val="superscript"/>
      <sz val="8"/>
      <name val="Arial"/>
      <family val="2"/>
    </font>
    <font>
      <i/>
      <sz val="8"/>
      <name val="Arial"/>
      <family val="2"/>
    </font>
    <font>
      <b/>
      <sz val="10"/>
      <color indexed="8"/>
      <name val="Arial"/>
      <family val="2"/>
    </font>
    <font>
      <sz val="10"/>
      <name val="Arial"/>
      <family val="2"/>
    </font>
    <font>
      <sz val="11"/>
      <name val="Calibri"/>
      <family val="2"/>
    </font>
    <font>
      <b/>
      <sz val="18"/>
      <name val="Arial"/>
      <family val="2"/>
    </font>
    <font>
      <b/>
      <sz val="10"/>
      <name val="Arial"/>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bgColor indexed="64"/>
      </patternFill>
    </fill>
    <fill>
      <patternFill patternType="solid">
        <fgColor rgb="FFFF0000"/>
        <bgColor indexed="64"/>
      </patternFill>
    </fill>
    <fill>
      <patternFill patternType="solid">
        <fgColor rgb="FFFFFF00"/>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64"/>
      </left>
      <right/>
      <top style="thin">
        <color indexed="64"/>
      </top>
      <bottom/>
      <diagonal/>
    </border>
    <border>
      <left/>
      <right/>
      <top style="hair">
        <color indexed="8"/>
      </top>
      <bottom style="hair">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ouble">
        <color indexed="0"/>
      </top>
      <bottom/>
      <diagonal/>
    </border>
    <border>
      <left/>
      <right/>
      <top style="thin">
        <color indexed="64"/>
      </top>
      <bottom style="medium">
        <color indexed="64"/>
      </bottom>
      <diagonal/>
    </border>
    <border>
      <left/>
      <right style="hair">
        <color indexed="8"/>
      </right>
      <top style="hair">
        <color indexed="8"/>
      </top>
      <bottom style="hair">
        <color indexed="8"/>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medium">
        <color indexed="64"/>
      </right>
      <top style="hair">
        <color indexed="8"/>
      </top>
      <bottom style="medium">
        <color indexed="64"/>
      </bottom>
      <diagonal/>
    </border>
    <border>
      <left style="thin">
        <color indexed="8"/>
      </left>
      <right/>
      <top style="thin">
        <color indexed="64"/>
      </top>
      <bottom style="thin">
        <color indexed="8"/>
      </bottom>
      <diagonal/>
    </border>
    <border>
      <left/>
      <right style="medium">
        <color indexed="64"/>
      </right>
      <top style="thin">
        <color indexed="64"/>
      </top>
      <bottom style="thin">
        <color indexed="8"/>
      </bottom>
      <diagonal/>
    </border>
    <border>
      <left/>
      <right/>
      <top style="thin">
        <color indexed="64"/>
      </top>
      <bottom style="thin">
        <color indexed="8"/>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s>
  <cellStyleXfs count="13">
    <xf numFmtId="0" fontId="0" fillId="0" borderId="0"/>
    <xf numFmtId="44" fontId="19" fillId="0" borderId="0" applyFont="0" applyFill="0" applyBorder="0" applyAlignment="0" applyProtection="0"/>
    <xf numFmtId="0" fontId="3" fillId="0" borderId="0">
      <alignment vertical="top"/>
    </xf>
    <xf numFmtId="3"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21" fillId="0" borderId="0" applyNumberFormat="0" applyFont="0" applyFill="0" applyAlignment="0" applyProtection="0"/>
    <xf numFmtId="0" fontId="6" fillId="0" borderId="0" applyNumberFormat="0" applyFont="0" applyFill="0" applyAlignment="0" applyProtection="0"/>
    <xf numFmtId="0" fontId="3" fillId="0" borderId="23" applyNumberFormat="0" applyFont="0" applyBorder="0" applyAlignment="0" applyProtection="0"/>
    <xf numFmtId="43" fontId="19"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185">
    <xf numFmtId="0" fontId="0" fillId="0" borderId="0" xfId="0"/>
    <xf numFmtId="164" fontId="4" fillId="0" borderId="4" xfId="0" applyNumberFormat="1" applyFont="1" applyBorder="1"/>
    <xf numFmtId="3" fontId="4" fillId="0" borderId="2" xfId="0" applyNumberFormat="1" applyFont="1" applyBorder="1"/>
    <xf numFmtId="164" fontId="9" fillId="2" borderId="1" xfId="0" applyNumberFormat="1" applyFont="1" applyFill="1" applyBorder="1"/>
    <xf numFmtId="164" fontId="9" fillId="0" borderId="2" xfId="0" applyNumberFormat="1" applyFont="1" applyBorder="1"/>
    <xf numFmtId="3" fontId="0" fillId="0" borderId="0" xfId="0" applyNumberFormat="1"/>
    <xf numFmtId="0" fontId="2" fillId="4" borderId="1" xfId="0" applyFont="1" applyFill="1" applyBorder="1" applyAlignment="1">
      <alignment horizontal="center"/>
    </xf>
    <xf numFmtId="164" fontId="4" fillId="5" borderId="6" xfId="0" applyNumberFormat="1" applyFont="1" applyFill="1" applyBorder="1"/>
    <xf numFmtId="0" fontId="12" fillId="4" borderId="11" xfId="0" applyFont="1" applyFill="1" applyBorder="1" applyAlignment="1">
      <alignment wrapText="1"/>
    </xf>
    <xf numFmtId="164" fontId="5" fillId="5" borderId="9" xfId="0" applyNumberFormat="1" applyFont="1" applyFill="1" applyBorder="1"/>
    <xf numFmtId="164" fontId="5" fillId="3" borderId="3" xfId="0" applyNumberFormat="1" applyFont="1" applyFill="1" applyBorder="1"/>
    <xf numFmtId="0" fontId="6" fillId="4" borderId="11" xfId="0" applyFont="1" applyFill="1" applyBorder="1" applyAlignment="1">
      <alignment wrapText="1"/>
    </xf>
    <xf numFmtId="0" fontId="12" fillId="4" borderId="8" xfId="0" applyFont="1" applyFill="1" applyBorder="1" applyAlignment="1">
      <alignment wrapText="1"/>
    </xf>
    <xf numFmtId="164" fontId="11" fillId="3" borderId="12" xfId="0" applyNumberFormat="1" applyFont="1" applyFill="1" applyBorder="1"/>
    <xf numFmtId="164" fontId="4" fillId="2" borderId="10" xfId="0" applyNumberFormat="1" applyFont="1" applyFill="1" applyBorder="1"/>
    <xf numFmtId="164" fontId="6" fillId="5" borderId="9" xfId="0" applyNumberFormat="1" applyFont="1" applyFill="1" applyBorder="1"/>
    <xf numFmtId="0" fontId="0" fillId="0" borderId="0" xfId="0" applyAlignment="1">
      <alignment vertical="center"/>
    </xf>
    <xf numFmtId="165" fontId="18" fillId="4" borderId="13" xfId="0" applyNumberFormat="1" applyFont="1" applyFill="1" applyBorder="1" applyAlignment="1">
      <alignment horizontal="center" wrapText="1"/>
    </xf>
    <xf numFmtId="165" fontId="18" fillId="4" borderId="7" xfId="0" applyNumberFormat="1" applyFont="1" applyFill="1" applyBorder="1" applyAlignment="1">
      <alignment horizontal="center" wrapText="1"/>
    </xf>
    <xf numFmtId="164" fontId="1" fillId="3" borderId="20" xfId="0" applyNumberFormat="1" applyFont="1" applyFill="1" applyBorder="1"/>
    <xf numFmtId="0" fontId="3" fillId="0" borderId="0" xfId="0" applyFont="1"/>
    <xf numFmtId="0" fontId="8" fillId="4" borderId="1" xfId="0" applyFont="1" applyFill="1" applyBorder="1" applyAlignment="1">
      <alignment horizontal="center"/>
    </xf>
    <xf numFmtId="164" fontId="5" fillId="5" borderId="20" xfId="0" applyNumberFormat="1" applyFont="1" applyFill="1" applyBorder="1"/>
    <xf numFmtId="2" fontId="3" fillId="0" borderId="0" xfId="0" applyNumberFormat="1" applyFont="1"/>
    <xf numFmtId="17" fontId="0" fillId="6" borderId="0" xfId="0" applyNumberFormat="1" applyFill="1"/>
    <xf numFmtId="44" fontId="0" fillId="0" borderId="0" xfId="1" applyFont="1"/>
    <xf numFmtId="164" fontId="9" fillId="2" borderId="2" xfId="0" applyNumberFormat="1" applyFont="1" applyFill="1" applyBorder="1"/>
    <xf numFmtId="0" fontId="6" fillId="0" borderId="2" xfId="0" applyFont="1" applyBorder="1" applyAlignment="1">
      <alignment horizontal="left"/>
    </xf>
    <xf numFmtId="0" fontId="4" fillId="0" borderId="21" xfId="0" applyFont="1" applyBorder="1"/>
    <xf numFmtId="0" fontId="6" fillId="5" borderId="24" xfId="0" applyFont="1" applyFill="1" applyBorder="1"/>
    <xf numFmtId="0" fontId="6" fillId="4" borderId="11" xfId="0" applyFont="1" applyFill="1" applyBorder="1" applyAlignment="1">
      <alignment horizontal="center" wrapText="1"/>
    </xf>
    <xf numFmtId="44" fontId="4" fillId="0" borderId="1" xfId="1" applyFont="1" applyBorder="1" applyAlignment="1"/>
    <xf numFmtId="0" fontId="3" fillId="0" borderId="0" xfId="0" applyFont="1" applyAlignment="1">
      <alignment horizontal="center"/>
    </xf>
    <xf numFmtId="0" fontId="0" fillId="0" borderId="0" xfId="0" applyAlignment="1">
      <alignment horizontal="center"/>
    </xf>
    <xf numFmtId="7" fontId="0" fillId="0" borderId="0" xfId="0" applyNumberFormat="1"/>
    <xf numFmtId="0" fontId="22" fillId="0" borderId="0" xfId="0" applyFont="1"/>
    <xf numFmtId="39" fontId="0" fillId="0" borderId="0" xfId="0" applyNumberFormat="1" applyAlignment="1">
      <alignment horizontal="center"/>
    </xf>
    <xf numFmtId="0" fontId="6" fillId="0" borderId="21" xfId="0" applyFont="1" applyBorder="1"/>
    <xf numFmtId="0" fontId="0" fillId="0" borderId="5" xfId="0" applyBorder="1"/>
    <xf numFmtId="0" fontId="6" fillId="0" borderId="0" xfId="0" applyFont="1" applyAlignment="1">
      <alignment horizontal="center"/>
    </xf>
    <xf numFmtId="7" fontId="22" fillId="0" borderId="0" xfId="0" applyNumberFormat="1" applyFont="1"/>
    <xf numFmtId="7" fontId="0" fillId="0" borderId="0" xfId="0" applyNumberFormat="1" applyAlignment="1">
      <alignment horizontal="right"/>
    </xf>
    <xf numFmtId="7" fontId="0" fillId="0" borderId="0" xfId="0" applyNumberFormat="1" applyAlignment="1">
      <alignment horizontal="center"/>
    </xf>
    <xf numFmtId="0" fontId="0" fillId="0" borderId="0" xfId="0" applyAlignment="1" applyProtection="1">
      <alignment horizontal="center"/>
      <protection locked="0"/>
    </xf>
    <xf numFmtId="44" fontId="4" fillId="0" borderId="2" xfId="1" applyFont="1" applyBorder="1" applyAlignment="1">
      <alignment wrapText="1"/>
    </xf>
    <xf numFmtId="3" fontId="4" fillId="0" borderId="1" xfId="0" applyNumberFormat="1" applyFont="1" applyBorder="1"/>
    <xf numFmtId="164" fontId="9" fillId="0" borderId="1" xfId="0" applyNumberFormat="1" applyFont="1" applyBorder="1"/>
    <xf numFmtId="0" fontId="3" fillId="3" borderId="0" xfId="0" applyFont="1" applyFill="1"/>
    <xf numFmtId="0" fontId="0" fillId="3" borderId="0" xfId="0" applyFill="1"/>
    <xf numFmtId="2" fontId="3" fillId="3" borderId="0" xfId="0" applyNumberFormat="1" applyFont="1" applyFill="1"/>
    <xf numFmtId="43" fontId="0" fillId="0" borderId="0" xfId="10" applyFont="1"/>
    <xf numFmtId="44" fontId="3" fillId="0" borderId="0" xfId="1" applyFont="1"/>
    <xf numFmtId="3" fontId="7" fillId="7" borderId="5" xfId="0" applyNumberFormat="1" applyFont="1" applyFill="1" applyBorder="1" applyAlignment="1" applyProtection="1">
      <alignment horizontal="center" wrapText="1"/>
      <protection locked="0"/>
    </xf>
    <xf numFmtId="0" fontId="3" fillId="7" borderId="17" xfId="0" applyFont="1" applyFill="1" applyBorder="1" applyAlignment="1" applyProtection="1">
      <alignment wrapText="1"/>
      <protection locked="0"/>
    </xf>
    <xf numFmtId="0" fontId="4" fillId="7" borderId="21" xfId="0" applyFont="1" applyFill="1" applyBorder="1" applyProtection="1">
      <protection locked="0"/>
    </xf>
    <xf numFmtId="164" fontId="9" fillId="7" borderId="4" xfId="0" applyNumberFormat="1" applyFont="1" applyFill="1" applyBorder="1" applyAlignment="1" applyProtection="1">
      <alignment horizontal="right"/>
      <protection locked="0"/>
    </xf>
    <xf numFmtId="0" fontId="4" fillId="7" borderId="1" xfId="0" applyFont="1" applyFill="1" applyBorder="1" applyAlignment="1" applyProtection="1">
      <alignment horizontal="justify" vertical="center" wrapText="1"/>
      <protection locked="0"/>
    </xf>
    <xf numFmtId="0" fontId="4" fillId="7" borderId="2" xfId="0" applyFont="1" applyFill="1" applyBorder="1" applyAlignment="1" applyProtection="1">
      <alignment horizontal="justify" vertical="center" wrapText="1"/>
      <protection locked="0"/>
    </xf>
    <xf numFmtId="0" fontId="0" fillId="7" borderId="5" xfId="0" applyFill="1" applyBorder="1" applyAlignment="1" applyProtection="1">
      <alignment wrapText="1"/>
      <protection locked="0"/>
    </xf>
    <xf numFmtId="3" fontId="4" fillId="7" borderId="1" xfId="0" applyNumberFormat="1" applyFont="1" applyFill="1" applyBorder="1" applyProtection="1">
      <protection locked="0"/>
    </xf>
    <xf numFmtId="164" fontId="4" fillId="0" borderId="2" xfId="1" applyNumberFormat="1" applyFont="1" applyBorder="1"/>
    <xf numFmtId="3" fontId="7" fillId="0" borderId="5" xfId="0" applyNumberFormat="1" applyFont="1" applyBorder="1" applyAlignment="1">
      <alignment horizontal="center" wrapText="1"/>
    </xf>
    <xf numFmtId="0" fontId="3" fillId="0" borderId="17" xfId="0" applyFont="1" applyBorder="1" applyAlignment="1">
      <alignment wrapText="1"/>
    </xf>
    <xf numFmtId="164" fontId="5" fillId="5" borderId="24" xfId="0" applyNumberFormat="1" applyFont="1" applyFill="1" applyBorder="1"/>
    <xf numFmtId="0" fontId="4" fillId="0" borderId="21" xfId="0" applyFont="1" applyBorder="1" applyAlignment="1">
      <alignment wrapText="1"/>
    </xf>
    <xf numFmtId="0" fontId="6" fillId="5" borderId="28" xfId="0" applyFont="1" applyFill="1" applyBorder="1"/>
    <xf numFmtId="0" fontId="1" fillId="3" borderId="29" xfId="0" applyFont="1" applyFill="1" applyBorder="1" applyAlignment="1">
      <alignment horizontal="right"/>
    </xf>
    <xf numFmtId="0" fontId="1" fillId="3" borderId="13" xfId="0" applyFont="1" applyFill="1" applyBorder="1" applyAlignment="1">
      <alignment horizontal="right"/>
    </xf>
    <xf numFmtId="0" fontId="1" fillId="3" borderId="30" xfId="0" applyFont="1" applyFill="1" applyBorder="1" applyAlignment="1">
      <alignment horizontal="right"/>
    </xf>
    <xf numFmtId="0" fontId="1" fillId="3" borderId="31" xfId="0" applyFont="1" applyFill="1" applyBorder="1" applyAlignment="1">
      <alignment horizontal="right"/>
    </xf>
    <xf numFmtId="44" fontId="5" fillId="5" borderId="24" xfId="1" applyFont="1" applyFill="1" applyBorder="1" applyAlignment="1"/>
    <xf numFmtId="3" fontId="6" fillId="5" borderId="28" xfId="0" applyNumberFormat="1" applyFont="1" applyFill="1" applyBorder="1"/>
    <xf numFmtId="0" fontId="4" fillId="0" borderId="22" xfId="0" applyFont="1" applyBorder="1" applyAlignment="1">
      <alignment horizontal="left"/>
    </xf>
    <xf numFmtId="0" fontId="4" fillId="0" borderId="5" xfId="0" applyFont="1" applyBorder="1" applyAlignment="1">
      <alignment horizontal="left"/>
    </xf>
    <xf numFmtId="0" fontId="4" fillId="0" borderId="30" xfId="0" applyFont="1" applyBorder="1" applyAlignment="1">
      <alignment horizontal="left"/>
    </xf>
    <xf numFmtId="0" fontId="4" fillId="0" borderId="31" xfId="0" applyFont="1" applyBorder="1" applyAlignment="1">
      <alignment horizontal="left"/>
    </xf>
    <xf numFmtId="0" fontId="6" fillId="3" borderId="24" xfId="0" applyFont="1" applyFill="1" applyBorder="1"/>
    <xf numFmtId="0" fontId="6" fillId="3" borderId="28" xfId="0" applyFont="1" applyFill="1" applyBorder="1"/>
    <xf numFmtId="0" fontId="4" fillId="5" borderId="32" xfId="0" applyFont="1" applyFill="1" applyBorder="1" applyAlignment="1">
      <alignment horizontal="justify"/>
    </xf>
    <xf numFmtId="0" fontId="4" fillId="5" borderId="7" xfId="0" applyFont="1" applyFill="1" applyBorder="1" applyAlignment="1">
      <alignment horizontal="justify"/>
    </xf>
    <xf numFmtId="0" fontId="4" fillId="5" borderId="22" xfId="0" applyFont="1" applyFill="1" applyBorder="1" applyAlignment="1">
      <alignment horizontal="justify" wrapText="1"/>
    </xf>
    <xf numFmtId="0" fontId="4" fillId="5" borderId="5" xfId="0" applyFont="1" applyFill="1" applyBorder="1" applyAlignment="1">
      <alignment horizontal="justify" wrapText="1"/>
    </xf>
    <xf numFmtId="0" fontId="6" fillId="5" borderId="24" xfId="0" applyFont="1" applyFill="1" applyBorder="1" applyAlignment="1">
      <alignment horizontal="justify"/>
    </xf>
    <xf numFmtId="0" fontId="6" fillId="5" borderId="28" xfId="0" applyFont="1" applyFill="1" applyBorder="1" applyAlignment="1">
      <alignment horizontal="justify"/>
    </xf>
    <xf numFmtId="0" fontId="6" fillId="4" borderId="29" xfId="0" applyFont="1" applyFill="1" applyBorder="1" applyAlignment="1">
      <alignment horizontal="center" wrapText="1"/>
    </xf>
    <xf numFmtId="164" fontId="2" fillId="4" borderId="13" xfId="0" applyNumberFormat="1" applyFont="1" applyFill="1" applyBorder="1" applyAlignment="1">
      <alignment horizontal="center" wrapText="1"/>
    </xf>
    <xf numFmtId="0" fontId="12" fillId="4" borderId="32" xfId="0" applyFont="1" applyFill="1" applyBorder="1" applyAlignment="1">
      <alignment wrapText="1"/>
    </xf>
    <xf numFmtId="164" fontId="3" fillId="4" borderId="32" xfId="0" applyNumberFormat="1" applyFont="1" applyFill="1" applyBorder="1"/>
    <xf numFmtId="165" fontId="18" fillId="4" borderId="32" xfId="0" applyNumberFormat="1" applyFont="1" applyFill="1" applyBorder="1" applyAlignment="1">
      <alignment horizontal="center" wrapText="1"/>
    </xf>
    <xf numFmtId="0" fontId="4" fillId="0" borderId="22" xfId="0" applyFont="1" applyBorder="1" applyAlignment="1">
      <alignment wrapText="1"/>
    </xf>
    <xf numFmtId="0" fontId="6" fillId="4" borderId="29" xfId="0" applyFont="1" applyFill="1" applyBorder="1" applyAlignment="1">
      <alignment wrapText="1"/>
    </xf>
    <xf numFmtId="164" fontId="5" fillId="5" borderId="26" xfId="0" applyNumberFormat="1" applyFont="1" applyFill="1" applyBorder="1"/>
    <xf numFmtId="1" fontId="5" fillId="5" borderId="28" xfId="0" applyNumberFormat="1" applyFont="1" applyFill="1" applyBorder="1" applyAlignment="1">
      <alignment horizontal="center"/>
    </xf>
    <xf numFmtId="164" fontId="5" fillId="5" borderId="33" xfId="0" applyNumberFormat="1" applyFont="1" applyFill="1" applyBorder="1"/>
    <xf numFmtId="1" fontId="5" fillId="5" borderId="28" xfId="0" applyNumberFormat="1" applyFont="1" applyFill="1" applyBorder="1"/>
    <xf numFmtId="0" fontId="10" fillId="4" borderId="19" xfId="0" applyFont="1" applyFill="1" applyBorder="1" applyAlignment="1">
      <alignment horizontal="right"/>
    </xf>
    <xf numFmtId="0" fontId="6" fillId="4" borderId="34" xfId="0" applyFont="1" applyFill="1" applyBorder="1" applyAlignment="1">
      <alignment horizontal="right"/>
    </xf>
    <xf numFmtId="0" fontId="1" fillId="4" borderId="34" xfId="0" applyFont="1" applyFill="1" applyBorder="1" applyAlignment="1">
      <alignment horizontal="left" wrapText="1"/>
    </xf>
    <xf numFmtId="0" fontId="2" fillId="4" borderId="4" xfId="0" applyFont="1" applyFill="1" applyBorder="1" applyAlignment="1">
      <alignment horizontal="center"/>
    </xf>
    <xf numFmtId="0" fontId="4" fillId="2" borderId="34" xfId="0" applyFont="1" applyFill="1" applyBorder="1" applyAlignment="1">
      <alignment horizontal="right" vertical="center" wrapText="1"/>
    </xf>
    <xf numFmtId="0" fontId="4" fillId="2" borderId="34" xfId="0" applyFont="1" applyFill="1" applyBorder="1" applyAlignment="1">
      <alignment horizontal="right" vertical="center"/>
    </xf>
    <xf numFmtId="0" fontId="4" fillId="0" borderId="34" xfId="0" applyFont="1" applyBorder="1" applyAlignment="1">
      <alignment horizontal="right" wrapText="1"/>
    </xf>
    <xf numFmtId="0" fontId="6" fillId="0" borderId="34" xfId="0" applyFont="1" applyBorder="1" applyAlignment="1">
      <alignment horizontal="right"/>
    </xf>
    <xf numFmtId="164" fontId="6" fillId="0" borderId="9" xfId="0" applyNumberFormat="1" applyFont="1" applyBorder="1"/>
    <xf numFmtId="0" fontId="4" fillId="5" borderId="35" xfId="0" applyFont="1" applyFill="1" applyBorder="1" applyAlignment="1">
      <alignment horizontal="justify"/>
    </xf>
    <xf numFmtId="0" fontId="4" fillId="5" borderId="36" xfId="0" applyFont="1" applyFill="1" applyBorder="1" applyAlignment="1">
      <alignment horizontal="justify" wrapText="1"/>
    </xf>
    <xf numFmtId="0" fontId="6" fillId="5" borderId="37" xfId="0" applyFont="1" applyFill="1" applyBorder="1" applyAlignment="1">
      <alignment horizontal="justify"/>
    </xf>
    <xf numFmtId="0" fontId="6" fillId="4" borderId="35" xfId="0" applyFont="1" applyFill="1" applyBorder="1" applyAlignment="1">
      <alignment wrapText="1"/>
    </xf>
    <xf numFmtId="164" fontId="6" fillId="4" borderId="12" xfId="0" applyNumberFormat="1" applyFont="1" applyFill="1" applyBorder="1" applyAlignment="1">
      <alignment horizontal="center" wrapText="1"/>
    </xf>
    <xf numFmtId="0" fontId="4" fillId="0" borderId="36" xfId="0" applyFont="1" applyBorder="1" applyAlignment="1">
      <alignment horizontal="left"/>
    </xf>
    <xf numFmtId="0" fontId="4" fillId="0" borderId="38" xfId="0" applyFont="1" applyBorder="1" applyAlignment="1">
      <alignment horizontal="left"/>
    </xf>
    <xf numFmtId="0" fontId="6" fillId="3" borderId="37" xfId="0" applyFont="1" applyFill="1" applyBorder="1"/>
    <xf numFmtId="0" fontId="6" fillId="4" borderId="19" xfId="0" applyFont="1" applyFill="1" applyBorder="1" applyAlignment="1">
      <alignment wrapText="1"/>
    </xf>
    <xf numFmtId="0" fontId="4" fillId="0" borderId="34" xfId="0" applyFont="1" applyBorder="1"/>
    <xf numFmtId="0" fontId="6" fillId="5" borderId="37" xfId="0" applyFont="1" applyFill="1" applyBorder="1"/>
    <xf numFmtId="0" fontId="12" fillId="4" borderId="39" xfId="0" applyFont="1" applyFill="1" applyBorder="1" applyAlignment="1">
      <alignment wrapText="1"/>
    </xf>
    <xf numFmtId="0" fontId="4" fillId="0" borderId="34" xfId="0" applyFont="1" applyBorder="1" applyAlignment="1">
      <alignment wrapText="1"/>
    </xf>
    <xf numFmtId="0" fontId="4" fillId="2" borderId="40" xfId="0" applyFont="1" applyFill="1" applyBorder="1" applyAlignment="1">
      <alignment wrapText="1"/>
    </xf>
    <xf numFmtId="0" fontId="4" fillId="0" borderId="40" xfId="0" applyFont="1" applyBorder="1" applyAlignment="1">
      <alignment wrapText="1"/>
    </xf>
    <xf numFmtId="0" fontId="12" fillId="4" borderId="19" xfId="0" applyFont="1" applyFill="1" applyBorder="1" applyAlignment="1">
      <alignment wrapText="1"/>
    </xf>
    <xf numFmtId="0" fontId="12" fillId="4" borderId="41" xfId="0" applyFont="1" applyFill="1" applyBorder="1" applyAlignment="1">
      <alignment wrapText="1"/>
    </xf>
    <xf numFmtId="164" fontId="5" fillId="4" borderId="27" xfId="0" applyNumberFormat="1" applyFont="1" applyFill="1" applyBorder="1" applyAlignment="1">
      <alignment horizontal="center" wrapText="1"/>
    </xf>
    <xf numFmtId="0" fontId="1" fillId="3" borderId="35" xfId="0" applyFont="1" applyFill="1" applyBorder="1" applyAlignment="1">
      <alignment horizontal="right" wrapText="1"/>
    </xf>
    <xf numFmtId="0" fontId="1" fillId="3" borderId="38" xfId="0" applyFont="1" applyFill="1" applyBorder="1" applyAlignment="1">
      <alignment horizontal="right" wrapText="1"/>
    </xf>
    <xf numFmtId="0" fontId="7" fillId="0" borderId="43" xfId="0" applyFont="1" applyBorder="1" applyAlignment="1">
      <alignment horizontal="right" wrapText="1"/>
    </xf>
    <xf numFmtId="0" fontId="7" fillId="0" borderId="42" xfId="0" applyFont="1" applyBorder="1" applyAlignment="1">
      <alignment horizontal="right" wrapText="1"/>
    </xf>
    <xf numFmtId="0" fontId="4" fillId="0" borderId="5" xfId="0" applyFont="1" applyBorder="1" applyAlignment="1">
      <alignment horizontal="right"/>
    </xf>
    <xf numFmtId="0" fontId="4" fillId="8" borderId="1" xfId="0" applyFont="1" applyFill="1" applyBorder="1" applyAlignment="1" applyProtection="1">
      <alignment horizontal="justify" vertical="center" wrapText="1"/>
      <protection locked="0"/>
    </xf>
    <xf numFmtId="0" fontId="4" fillId="8" borderId="2" xfId="0" applyFont="1" applyFill="1" applyBorder="1" applyAlignment="1" applyProtection="1">
      <alignment horizontal="justify" vertical="center" wrapText="1"/>
      <protection locked="0"/>
    </xf>
    <xf numFmtId="3" fontId="4" fillId="8" borderId="1" xfId="0" applyNumberFormat="1" applyFont="1" applyFill="1" applyBorder="1" applyProtection="1">
      <protection locked="0"/>
    </xf>
    <xf numFmtId="3" fontId="4" fillId="8" borderId="2" xfId="0" applyNumberFormat="1" applyFont="1" applyFill="1" applyBorder="1" applyProtection="1">
      <protection locked="0"/>
    </xf>
    <xf numFmtId="164" fontId="4" fillId="8" borderId="4" xfId="0" applyNumberFormat="1" applyFont="1" applyFill="1" applyBorder="1" applyProtection="1">
      <protection locked="0"/>
    </xf>
    <xf numFmtId="0" fontId="3" fillId="5" borderId="0" xfId="0" applyFont="1" applyFill="1"/>
    <xf numFmtId="0" fontId="0" fillId="5" borderId="0" xfId="0" applyFill="1"/>
    <xf numFmtId="43" fontId="0" fillId="0" borderId="0" xfId="0" applyNumberFormat="1"/>
    <xf numFmtId="164" fontId="11" fillId="3" borderId="1" xfId="0" applyNumberFormat="1" applyFont="1" applyFill="1" applyBorder="1" applyAlignment="1">
      <alignment horizontal="right"/>
    </xf>
    <xf numFmtId="0" fontId="3" fillId="7" borderId="0" xfId="0" applyFont="1" applyFill="1"/>
    <xf numFmtId="44" fontId="0" fillId="7" borderId="0" xfId="1" applyFont="1" applyFill="1"/>
    <xf numFmtId="44" fontId="0" fillId="0" borderId="0" xfId="11" applyFont="1"/>
    <xf numFmtId="44" fontId="20" fillId="0" borderId="0" xfId="11" applyFont="1" applyAlignment="1">
      <alignment vertical="center"/>
    </xf>
    <xf numFmtId="44" fontId="20" fillId="7" borderId="0" xfId="1" applyFont="1" applyFill="1" applyAlignment="1">
      <alignment vertical="center"/>
    </xf>
    <xf numFmtId="8" fontId="0" fillId="0" borderId="0" xfId="0" applyNumberFormat="1"/>
    <xf numFmtId="0" fontId="0" fillId="0" borderId="55" xfId="0" applyBorder="1"/>
    <xf numFmtId="0" fontId="6" fillId="5" borderId="56" xfId="0" applyFont="1" applyFill="1" applyBorder="1"/>
    <xf numFmtId="0" fontId="6" fillId="5" borderId="57" xfId="0" applyFont="1" applyFill="1" applyBorder="1"/>
    <xf numFmtId="44" fontId="5" fillId="5" borderId="57" xfId="1" applyFont="1" applyFill="1" applyBorder="1" applyAlignment="1"/>
    <xf numFmtId="1" fontId="5" fillId="5" borderId="58" xfId="0" applyNumberFormat="1" applyFont="1" applyFill="1" applyBorder="1"/>
    <xf numFmtId="2" fontId="0" fillId="0" borderId="0" xfId="0" applyNumberFormat="1"/>
    <xf numFmtId="0" fontId="3" fillId="0" borderId="0" xfId="2" applyAlignment="1"/>
    <xf numFmtId="2" fontId="3" fillId="0" borderId="0" xfId="2" applyNumberFormat="1" applyAlignment="1"/>
    <xf numFmtId="0" fontId="10" fillId="7" borderId="11" xfId="0" applyFont="1" applyFill="1" applyBorder="1" applyAlignment="1" applyProtection="1">
      <alignment horizontal="left"/>
      <protection locked="0"/>
    </xf>
    <xf numFmtId="0" fontId="10" fillId="7" borderId="12" xfId="0" applyFont="1" applyFill="1" applyBorder="1" applyAlignment="1" applyProtection="1">
      <alignment horizontal="left"/>
      <protection locked="0"/>
    </xf>
    <xf numFmtId="0" fontId="6" fillId="7" borderId="1" xfId="0" applyFont="1" applyFill="1" applyBorder="1" applyAlignment="1" applyProtection="1">
      <alignment horizontal="left"/>
      <protection locked="0"/>
    </xf>
    <xf numFmtId="0" fontId="6" fillId="7" borderId="4" xfId="0" applyFont="1" applyFill="1" applyBorder="1" applyAlignment="1" applyProtection="1">
      <alignment horizontal="left"/>
      <protection locked="0"/>
    </xf>
    <xf numFmtId="0" fontId="3" fillId="7" borderId="1" xfId="0" applyFont="1" applyFill="1" applyBorder="1" applyAlignment="1" applyProtection="1">
      <alignment horizontal="left"/>
      <protection locked="0"/>
    </xf>
    <xf numFmtId="0" fontId="0" fillId="7" borderId="1" xfId="0" applyFill="1" applyBorder="1" applyAlignment="1" applyProtection="1">
      <alignment horizontal="left"/>
      <protection locked="0"/>
    </xf>
    <xf numFmtId="0" fontId="0" fillId="7" borderId="4" xfId="0" applyFill="1" applyBorder="1" applyAlignment="1" applyProtection="1">
      <alignment horizontal="left"/>
      <protection locked="0"/>
    </xf>
    <xf numFmtId="14" fontId="7" fillId="7" borderId="52" xfId="0" applyNumberFormat="1" applyFont="1" applyFill="1" applyBorder="1" applyAlignment="1" applyProtection="1">
      <alignment horizontal="left" wrapText="1"/>
      <protection locked="0"/>
    </xf>
    <xf numFmtId="14" fontId="7" fillId="7" borderId="54" xfId="0" applyNumberFormat="1" applyFont="1" applyFill="1" applyBorder="1" applyAlignment="1" applyProtection="1">
      <alignment horizontal="left" wrapText="1"/>
      <protection locked="0"/>
    </xf>
    <xf numFmtId="14" fontId="7" fillId="7" borderId="53" xfId="0" applyNumberFormat="1" applyFont="1" applyFill="1" applyBorder="1" applyAlignment="1" applyProtection="1">
      <alignment horizontal="left" wrapText="1"/>
      <protection locked="0"/>
    </xf>
    <xf numFmtId="0" fontId="13" fillId="0" borderId="49" xfId="0" applyFont="1" applyBorder="1" applyAlignment="1">
      <alignment wrapText="1"/>
    </xf>
    <xf numFmtId="0" fontId="13" fillId="0" borderId="50" xfId="0" applyFont="1" applyBorder="1" applyAlignment="1">
      <alignment wrapText="1"/>
    </xf>
    <xf numFmtId="0" fontId="13" fillId="0" borderId="51" xfId="0" applyFont="1" applyBorder="1" applyAlignment="1">
      <alignment wrapText="1"/>
    </xf>
    <xf numFmtId="0" fontId="15" fillId="3" borderId="47" xfId="0" applyFont="1" applyFill="1" applyBorder="1" applyAlignment="1">
      <alignment horizontal="left" wrapText="1"/>
    </xf>
    <xf numFmtId="0" fontId="15" fillId="3" borderId="18" xfId="0" applyFont="1" applyFill="1" applyBorder="1" applyAlignment="1">
      <alignment horizontal="left" wrapText="1"/>
    </xf>
    <xf numFmtId="0" fontId="15" fillId="3" borderId="48" xfId="0" applyFont="1" applyFill="1" applyBorder="1" applyAlignment="1">
      <alignment horizontal="left" wrapText="1"/>
    </xf>
    <xf numFmtId="0" fontId="16" fillId="0" borderId="47" xfId="0" applyFont="1" applyBorder="1" applyAlignment="1">
      <alignment wrapText="1"/>
    </xf>
    <xf numFmtId="0" fontId="16" fillId="0" borderId="18" xfId="0" applyFont="1" applyBorder="1" applyAlignment="1">
      <alignment wrapText="1"/>
    </xf>
    <xf numFmtId="0" fontId="13" fillId="0" borderId="18" xfId="0" applyFont="1" applyBorder="1" applyAlignment="1">
      <alignment wrapText="1"/>
    </xf>
    <xf numFmtId="0" fontId="13" fillId="0" borderId="48" xfId="0" applyFont="1" applyBorder="1" applyAlignment="1">
      <alignment wrapText="1"/>
    </xf>
    <xf numFmtId="0" fontId="14" fillId="3" borderId="45" xfId="0" applyFont="1" applyFill="1" applyBorder="1" applyAlignment="1">
      <alignment horizontal="center" wrapText="1"/>
    </xf>
    <xf numFmtId="0" fontId="14" fillId="3" borderId="25" xfId="0" applyFont="1" applyFill="1" applyBorder="1" applyAlignment="1">
      <alignment horizontal="center" wrapText="1"/>
    </xf>
    <xf numFmtId="0" fontId="14" fillId="3" borderId="16" xfId="0" applyFont="1" applyFill="1" applyBorder="1" applyAlignment="1">
      <alignment horizontal="center" wrapText="1"/>
    </xf>
    <xf numFmtId="0" fontId="14" fillId="3" borderId="46" xfId="0" applyFont="1" applyFill="1" applyBorder="1" applyAlignment="1">
      <alignment horizontal="center" wrapText="1"/>
    </xf>
    <xf numFmtId="0" fontId="7" fillId="7" borderId="14" xfId="0" applyFont="1" applyFill="1" applyBorder="1" applyAlignment="1" applyProtection="1">
      <alignment horizontal="left" wrapText="1"/>
      <protection locked="0"/>
    </xf>
    <xf numFmtId="0" fontId="7" fillId="7" borderId="15" xfId="0" applyFont="1" applyFill="1" applyBorder="1" applyAlignment="1" applyProtection="1">
      <alignment horizontal="left" wrapText="1"/>
      <protection locked="0"/>
    </xf>
    <xf numFmtId="0" fontId="7" fillId="7" borderId="44" xfId="0" applyFont="1" applyFill="1" applyBorder="1" applyAlignment="1" applyProtection="1">
      <alignment horizontal="left" wrapText="1"/>
      <protection locked="0"/>
    </xf>
    <xf numFmtId="0" fontId="13" fillId="0" borderId="47" xfId="0" applyFont="1" applyBorder="1"/>
    <xf numFmtId="0" fontId="13" fillId="0" borderId="18" xfId="0" applyFont="1" applyBorder="1"/>
    <xf numFmtId="0" fontId="13" fillId="0" borderId="48" xfId="0" applyFont="1" applyBorder="1"/>
    <xf numFmtId="0" fontId="15" fillId="0" borderId="35" xfId="0" applyFont="1" applyBorder="1" applyAlignment="1">
      <alignment wrapText="1"/>
    </xf>
    <xf numFmtId="0" fontId="15" fillId="0" borderId="29" xfId="0" applyFont="1" applyBorder="1" applyAlignment="1">
      <alignment wrapText="1"/>
    </xf>
    <xf numFmtId="0" fontId="15" fillId="0" borderId="59" xfId="0" applyFont="1" applyBorder="1" applyAlignment="1">
      <alignment wrapText="1"/>
    </xf>
    <xf numFmtId="0" fontId="15" fillId="0" borderId="36" xfId="0" applyFont="1" applyBorder="1" applyAlignment="1">
      <alignment wrapText="1"/>
    </xf>
    <xf numFmtId="0" fontId="15" fillId="0" borderId="22" xfId="0" applyFont="1" applyBorder="1" applyAlignment="1">
      <alignment wrapText="1"/>
    </xf>
  </cellXfs>
  <cellStyles count="13">
    <cellStyle name="Comma" xfId="10" builtinId="3"/>
    <cellStyle name="Comma 2" xfId="12" xr:uid="{00000000-0005-0000-0000-000037000000}"/>
    <cellStyle name="Comma0" xfId="3" xr:uid="{00000000-0005-0000-0000-000001000000}"/>
    <cellStyle name="Currency" xfId="1" builtinId="4"/>
    <cellStyle name="Currency 2" xfId="11" xr:uid="{00000000-0005-0000-0000-000038000000}"/>
    <cellStyle name="Currency0" xfId="4" xr:uid="{00000000-0005-0000-0000-000003000000}"/>
    <cellStyle name="Date" xfId="5" xr:uid="{00000000-0005-0000-0000-000004000000}"/>
    <cellStyle name="Fixed" xfId="6" xr:uid="{00000000-0005-0000-0000-000005000000}"/>
    <cellStyle name="Heading 1 2" xfId="7" xr:uid="{00000000-0005-0000-0000-000006000000}"/>
    <cellStyle name="Heading 2 2" xfId="8" xr:uid="{00000000-0005-0000-0000-000007000000}"/>
    <cellStyle name="Normal" xfId="0" builtinId="0"/>
    <cellStyle name="Normal 2" xfId="2" xr:uid="{00000000-0005-0000-0000-000009000000}"/>
    <cellStyle name="Total 2" xfId="9" xr:uid="{00000000-0005-0000-0000-00000A000000}"/>
  </cellStyles>
  <dxfs count="0"/>
  <tableStyles count="0" defaultTableStyle="TableStyleMedium9" defaultPivotStyle="PivotStyleLight16"/>
  <colors>
    <mruColors>
      <color rgb="FFFFFF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59159</xdr:rowOff>
    </xdr:from>
    <xdr:ext cx="11361782" cy="2536115"/>
    <xdr:sp macro="" textlink="">
      <xdr:nvSpPr>
        <xdr:cNvPr id="2" name="Rectangle 1">
          <a:extLst>
            <a:ext uri="{FF2B5EF4-FFF2-40B4-BE49-F238E27FC236}">
              <a16:creationId xmlns:a16="http://schemas.microsoft.com/office/drawing/2014/main" id="{00000000-0008-0000-0000-000002000000}"/>
            </a:ext>
          </a:extLst>
        </xdr:cNvPr>
        <xdr:cNvSpPr/>
      </xdr:nvSpPr>
      <xdr:spPr>
        <a:xfrm rot="19361308">
          <a:off x="0" y="5097884"/>
          <a:ext cx="11361782" cy="2536115"/>
        </a:xfrm>
        <a:prstGeom prst="rect">
          <a:avLst/>
        </a:prstGeom>
        <a:noFill/>
        <a:ln>
          <a:noFill/>
        </a:ln>
      </xdr:spPr>
      <xdr:txBody>
        <a:bodyPr wrap="square" lIns="91440" tIns="45720" rIns="91440" bIns="45720">
          <a:noAutofit/>
        </a:bodyPr>
        <a:lstStyle/>
        <a:p>
          <a:pPr algn="ctr"/>
          <a:r>
            <a:rPr lang="en-US" sz="13800" b="1" cap="none" spc="0">
              <a:ln w="12700">
                <a:solidFill>
                  <a:schemeClr val="bg2">
                    <a:lumMod val="10000"/>
                    <a:alpha val="26000"/>
                  </a:schemeClr>
                </a:solidFill>
                <a:prstDash val="solid"/>
              </a:ln>
              <a:noFill/>
              <a:effectLst>
                <a:outerShdw blurRad="41275" dist="20320" dir="1800000" algn="tl" rotWithShape="0">
                  <a:srgbClr val="000000">
                    <a:alpha val="78000"/>
                  </a:srgbClr>
                </a:outerShdw>
              </a:effectLst>
            </a:rPr>
            <a:t>Estimate</a:t>
          </a:r>
          <a:r>
            <a:rPr lang="en-US" sz="13800" b="1" cap="none" spc="0" baseline="0">
              <a:ln w="12700">
                <a:solidFill>
                  <a:schemeClr val="bg2">
                    <a:lumMod val="10000"/>
                    <a:alpha val="26000"/>
                  </a:schemeClr>
                </a:solidFill>
                <a:prstDash val="solid"/>
              </a:ln>
              <a:noFill/>
              <a:effectLst>
                <a:outerShdw blurRad="41275" dist="20320" dir="1800000" algn="tl" rotWithShape="0">
                  <a:srgbClr val="000000">
                    <a:alpha val="78000"/>
                  </a:srgbClr>
                </a:outerShdw>
              </a:effectLst>
            </a:rPr>
            <a:t> </a:t>
          </a:r>
          <a:r>
            <a:rPr lang="en-US" sz="16600" b="1" cap="none" spc="0" baseline="0">
              <a:ln w="12700">
                <a:solidFill>
                  <a:schemeClr val="bg2">
                    <a:lumMod val="10000"/>
                    <a:alpha val="26000"/>
                  </a:schemeClr>
                </a:solidFill>
                <a:prstDash val="solid"/>
              </a:ln>
              <a:noFill/>
              <a:effectLst>
                <a:outerShdw blurRad="41275" dist="20320" dir="1800000" algn="tl" rotWithShape="0">
                  <a:srgbClr val="000000">
                    <a:alpha val="78000"/>
                  </a:srgbClr>
                </a:outerShdw>
              </a:effectLst>
            </a:rPr>
            <a:t>Only</a:t>
          </a:r>
          <a:r>
            <a:rPr lang="en-US" sz="13800" b="1" cap="none" spc="0">
              <a:ln w="12700">
                <a:solidFill>
                  <a:schemeClr val="bg2">
                    <a:lumMod val="10000"/>
                    <a:alpha val="26000"/>
                  </a:schemeClr>
                </a:solidFill>
                <a:prstDash val="solid"/>
              </a:ln>
              <a:noFill/>
              <a:effectLst>
                <a:outerShdw blurRad="41275" dist="20320" dir="1800000" algn="tl" rotWithShape="0">
                  <a:srgbClr val="000000">
                    <a:alpha val="40000"/>
                  </a:srgbClr>
                </a:outerShdw>
              </a:effectLst>
            </a:rPr>
            <a:t>	</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P61"/>
  <sheetViews>
    <sheetView showGridLines="0" tabSelected="1" topLeftCell="A40" zoomScale="98" zoomScaleNormal="98" workbookViewId="0">
      <selection activeCell="B5" sqref="B5"/>
    </sheetView>
  </sheetViews>
  <sheetFormatPr defaultRowHeight="12.75" x14ac:dyDescent="0.2"/>
  <cols>
    <col min="1" max="1" width="56.85546875" customWidth="1"/>
    <col min="2" max="2" width="39.7109375" customWidth="1"/>
    <col min="3" max="3" width="20.85546875" customWidth="1"/>
    <col min="4" max="4" width="20.42578125" customWidth="1"/>
    <col min="5" max="5" width="24.85546875" bestFit="1" customWidth="1"/>
    <col min="16" max="16" width="1.28515625" customWidth="1"/>
    <col min="17" max="17" width="5.28515625" customWidth="1"/>
  </cols>
  <sheetData>
    <row r="1" spans="1:16" ht="18" x14ac:dyDescent="0.25">
      <c r="A1" s="95" t="s">
        <v>24</v>
      </c>
      <c r="B1" s="150"/>
      <c r="C1" s="150"/>
      <c r="D1" s="150"/>
      <c r="E1" s="151"/>
    </row>
    <row r="2" spans="1:16" ht="15.75" x14ac:dyDescent="0.25">
      <c r="A2" s="96" t="s">
        <v>1</v>
      </c>
      <c r="B2" s="152"/>
      <c r="C2" s="152"/>
      <c r="D2" s="152"/>
      <c r="E2" s="153"/>
    </row>
    <row r="3" spans="1:16" ht="15.75" x14ac:dyDescent="0.25">
      <c r="A3" s="96" t="s">
        <v>79</v>
      </c>
      <c r="B3" s="154"/>
      <c r="C3" s="155"/>
      <c r="D3" s="155"/>
      <c r="E3" s="156"/>
    </row>
    <row r="4" spans="1:16" ht="25.5" customHeight="1" x14ac:dyDescent="0.3">
      <c r="A4" s="97"/>
      <c r="B4" s="6" t="s">
        <v>81</v>
      </c>
      <c r="C4" s="6"/>
      <c r="D4" s="21" t="s">
        <v>11</v>
      </c>
      <c r="E4" s="98" t="s">
        <v>0</v>
      </c>
    </row>
    <row r="5" spans="1:16" ht="15" x14ac:dyDescent="0.2">
      <c r="A5" s="99" t="s">
        <v>83</v>
      </c>
      <c r="B5" s="56"/>
      <c r="C5" s="59"/>
      <c r="D5" s="3" t="str">
        <f>IFERROR(INDEX('Valuation Table'!$C$2:$K$28,MATCH($B5,'Valuation Table'!$B$2:$B$28,0),MATCH($B6,'Valuation Table'!$C$1:$K$1,0)),"")</f>
        <v/>
      </c>
      <c r="E5" s="1" t="e">
        <f>C5*ROUND(D5,2)</f>
        <v>#VALUE!</v>
      </c>
      <c r="P5" s="5">
        <f>SUM(C5:C5)</f>
        <v>0</v>
      </c>
    </row>
    <row r="6" spans="1:16" ht="15" x14ac:dyDescent="0.2">
      <c r="A6" s="99" t="s">
        <v>78</v>
      </c>
      <c r="B6" s="57"/>
      <c r="C6" s="2"/>
      <c r="D6" s="26"/>
      <c r="E6" s="1"/>
      <c r="P6" s="5"/>
    </row>
    <row r="7" spans="1:16" ht="15" x14ac:dyDescent="0.2">
      <c r="A7" s="100" t="s">
        <v>82</v>
      </c>
      <c r="B7" s="127"/>
      <c r="C7" s="129"/>
      <c r="D7" s="3"/>
      <c r="E7" s="1">
        <f>C7*ROUND(D7,2)</f>
        <v>0</v>
      </c>
      <c r="P7" s="5"/>
    </row>
    <row r="8" spans="1:16" ht="15" x14ac:dyDescent="0.2">
      <c r="A8" s="99" t="s">
        <v>78</v>
      </c>
      <c r="B8" s="128"/>
      <c r="C8" s="2"/>
      <c r="D8" s="4"/>
      <c r="E8" s="1"/>
      <c r="P8" s="5"/>
    </row>
    <row r="9" spans="1:16" ht="15" x14ac:dyDescent="0.2">
      <c r="A9" s="101" t="s">
        <v>82</v>
      </c>
      <c r="B9" s="127"/>
      <c r="C9" s="130"/>
      <c r="D9" s="3" t="str">
        <f>IFERROR(INDEX('Valuation Table'!$C$2:$J$28,MATCH($B9,'Valuation Table'!$B$2:$B$28,0),MATCH($B10,'Valuation Table'!$C$1:$J$1,0)),"")</f>
        <v/>
      </c>
      <c r="E9" s="1" t="e">
        <f>C9*ROUND(D9,2)</f>
        <v>#VALUE!</v>
      </c>
      <c r="P9" s="5"/>
    </row>
    <row r="10" spans="1:16" ht="15" x14ac:dyDescent="0.2">
      <c r="A10" s="99" t="s">
        <v>78</v>
      </c>
      <c r="B10" s="128"/>
      <c r="C10" s="2"/>
      <c r="D10" s="4"/>
      <c r="E10" s="1"/>
      <c r="P10" s="5"/>
    </row>
    <row r="11" spans="1:16" ht="15" x14ac:dyDescent="0.2">
      <c r="A11" s="101" t="s">
        <v>82</v>
      </c>
      <c r="B11" s="127"/>
      <c r="C11" s="130"/>
      <c r="D11" s="3" t="str">
        <f>IFERROR(INDEX('Valuation Table'!$C$2:$J$28,MATCH($B11,'Valuation Table'!$B$2:$B$28,0),MATCH($B12,'Valuation Table'!$C$1:$J$1,0)),"")</f>
        <v/>
      </c>
      <c r="E11" s="1" t="e">
        <f>C11*ROUND(D11,2)</f>
        <v>#VALUE!</v>
      </c>
      <c r="P11" s="5"/>
    </row>
    <row r="12" spans="1:16" ht="15" x14ac:dyDescent="0.2">
      <c r="A12" s="99" t="s">
        <v>78</v>
      </c>
      <c r="B12" s="128"/>
      <c r="C12" s="45"/>
      <c r="D12" s="46"/>
      <c r="E12" s="1"/>
      <c r="P12" s="5"/>
    </row>
    <row r="13" spans="1:16" ht="15" x14ac:dyDescent="0.2">
      <c r="A13" s="99" t="s">
        <v>131</v>
      </c>
      <c r="B13" s="45"/>
      <c r="C13" s="129"/>
      <c r="D13" s="46"/>
      <c r="E13" s="131">
        <v>0</v>
      </c>
      <c r="H13" t="s">
        <v>132</v>
      </c>
      <c r="P13" s="5"/>
    </row>
    <row r="14" spans="1:16" ht="30" x14ac:dyDescent="0.2">
      <c r="A14" s="99" t="s">
        <v>122</v>
      </c>
      <c r="B14" s="58"/>
      <c r="C14" s="45"/>
      <c r="D14" s="46"/>
      <c r="E14" s="1"/>
      <c r="P14" s="5"/>
    </row>
    <row r="15" spans="1:16" ht="19.5" customHeight="1" thickBot="1" x14ac:dyDescent="0.3">
      <c r="A15" s="102" t="s">
        <v>118</v>
      </c>
      <c r="B15" s="27"/>
      <c r="C15" s="2">
        <f>SUM(C5:C14)</f>
        <v>0</v>
      </c>
      <c r="D15" s="60"/>
      <c r="E15" s="103">
        <f>SUMIF(E5:E13,"&lt;&gt;#VALUE!")</f>
        <v>0</v>
      </c>
    </row>
    <row r="16" spans="1:16" ht="19.5" customHeight="1" x14ac:dyDescent="0.2">
      <c r="A16" s="104" t="s">
        <v>2</v>
      </c>
      <c r="B16" s="78"/>
      <c r="C16" s="78"/>
      <c r="D16" s="79"/>
      <c r="E16" s="7">
        <f>IF(B14="Shell",E15*0.8,E15)</f>
        <v>0</v>
      </c>
      <c r="P16" s="5">
        <f>ROUNDUP(E17/1000,0.1)</f>
        <v>0</v>
      </c>
    </row>
    <row r="17" spans="1:16" ht="19.5" customHeight="1" x14ac:dyDescent="0.2">
      <c r="A17" s="105" t="s">
        <v>21</v>
      </c>
      <c r="B17" s="80"/>
      <c r="C17" s="80"/>
      <c r="D17" s="81"/>
      <c r="E17" s="55"/>
    </row>
    <row r="18" spans="1:16" ht="19.5" customHeight="1" thickBot="1" x14ac:dyDescent="0.3">
      <c r="A18" s="106" t="s">
        <v>5</v>
      </c>
      <c r="B18" s="82"/>
      <c r="C18" s="82"/>
      <c r="D18" s="83"/>
      <c r="E18" s="15">
        <f>SUM(E17,E16)</f>
        <v>0</v>
      </c>
    </row>
    <row r="19" spans="1:16" ht="19.5" customHeight="1" x14ac:dyDescent="0.25">
      <c r="A19" s="107" t="s">
        <v>117</v>
      </c>
      <c r="B19" s="90"/>
      <c r="C19" s="84"/>
      <c r="D19" s="85"/>
      <c r="E19" s="108" t="s">
        <v>77</v>
      </c>
    </row>
    <row r="20" spans="1:16" ht="21" customHeight="1" x14ac:dyDescent="0.2">
      <c r="A20" s="109" t="s">
        <v>133</v>
      </c>
      <c r="B20" s="72"/>
      <c r="C20" s="72"/>
      <c r="D20" s="73"/>
      <c r="E20" s="14">
        <f>'Permit Fees'!I12</f>
        <v>100</v>
      </c>
    </row>
    <row r="21" spans="1:16" ht="19.5" customHeight="1" x14ac:dyDescent="0.2">
      <c r="A21" s="110" t="s">
        <v>134</v>
      </c>
      <c r="B21" s="74"/>
      <c r="C21" s="74"/>
      <c r="D21" s="75"/>
      <c r="E21" s="14">
        <f>'Permit Fees'!I14</f>
        <v>0</v>
      </c>
    </row>
    <row r="22" spans="1:16" ht="19.5" customHeight="1" thickBot="1" x14ac:dyDescent="0.3">
      <c r="A22" s="111" t="s">
        <v>0</v>
      </c>
      <c r="B22" s="76"/>
      <c r="C22" s="76"/>
      <c r="D22" s="77"/>
      <c r="E22" s="10">
        <f>SUM(E20:E21)</f>
        <v>100</v>
      </c>
    </row>
    <row r="23" spans="1:16" ht="25.5" customHeight="1" x14ac:dyDescent="0.25">
      <c r="A23" s="112" t="s">
        <v>103</v>
      </c>
      <c r="B23" s="11" t="s">
        <v>32</v>
      </c>
      <c r="C23" s="30" t="s">
        <v>84</v>
      </c>
      <c r="D23" s="85" t="s">
        <v>9</v>
      </c>
      <c r="E23" s="108" t="s">
        <v>77</v>
      </c>
      <c r="P23">
        <f>D24/1000</f>
        <v>0</v>
      </c>
    </row>
    <row r="24" spans="1:16" ht="19.5" customHeight="1" x14ac:dyDescent="0.2">
      <c r="A24" s="113" t="s">
        <v>14</v>
      </c>
      <c r="B24" s="54" t="s">
        <v>29</v>
      </c>
      <c r="C24" s="31" t="e">
        <f>VLOOKUP($B$3&amp;A24&amp;B24,'Impact Fee'!D:E,2,FALSE)</f>
        <v>#N/A</v>
      </c>
      <c r="D24" s="61">
        <f>C15</f>
        <v>0</v>
      </c>
      <c r="E24" s="1" t="e">
        <f>C24*(D24/1000)</f>
        <v>#N/A</v>
      </c>
      <c r="P24">
        <f>D24/1000</f>
        <v>0</v>
      </c>
    </row>
    <row r="25" spans="1:16" ht="19.5" customHeight="1" x14ac:dyDescent="0.2">
      <c r="A25" s="113" t="s">
        <v>15</v>
      </c>
      <c r="B25" s="28" t="str">
        <f>B24</f>
        <v>Office and Other</v>
      </c>
      <c r="C25" s="31" t="e">
        <f>VLOOKUP($B$3&amp;A25&amp;B25,'Impact Fee'!D:E,2,FALSE)</f>
        <v>#N/A</v>
      </c>
      <c r="D25" s="61">
        <f>C15</f>
        <v>0</v>
      </c>
      <c r="E25" s="1" t="e">
        <f>C25*(D25/1000)</f>
        <v>#N/A</v>
      </c>
      <c r="P25">
        <f>D24/1000</f>
        <v>0</v>
      </c>
    </row>
    <row r="26" spans="1:16" ht="19.5" customHeight="1" x14ac:dyDescent="0.2">
      <c r="A26" s="113" t="s">
        <v>13</v>
      </c>
      <c r="B26" s="28" t="str">
        <f>B24</f>
        <v>Office and Other</v>
      </c>
      <c r="C26" s="31" t="e">
        <f>VLOOKUP($B$3&amp;A26&amp;B26,'Impact Fee'!D:E,2,FALSE)</f>
        <v>#N/A</v>
      </c>
      <c r="D26" s="61">
        <f>C15</f>
        <v>0</v>
      </c>
      <c r="E26" s="1" t="e">
        <f>C26*(D26/1000)</f>
        <v>#N/A</v>
      </c>
    </row>
    <row r="27" spans="1:16" ht="19.5" customHeight="1" x14ac:dyDescent="0.2">
      <c r="A27" s="113" t="s">
        <v>12</v>
      </c>
      <c r="B27" s="28" t="str">
        <f>B24</f>
        <v>Office and Other</v>
      </c>
      <c r="C27" s="31" t="e">
        <f>VLOOKUP($B$3&amp;A27&amp;B27,'Impact Fee'!D:E,2,FALSE)</f>
        <v>#N/A</v>
      </c>
      <c r="D27" s="61">
        <f>C15</f>
        <v>0</v>
      </c>
      <c r="E27" s="1" t="e">
        <f>C27*(D27/1000)</f>
        <v>#N/A</v>
      </c>
    </row>
    <row r="28" spans="1:16" ht="19.5" customHeight="1" thickBot="1" x14ac:dyDescent="0.3">
      <c r="A28" s="114" t="s">
        <v>0</v>
      </c>
      <c r="B28" s="29"/>
      <c r="C28" s="63"/>
      <c r="D28" s="71"/>
      <c r="E28" s="9">
        <f>SUMIF(E24:E27,"&lt;&gt;#N/A")</f>
        <v>0</v>
      </c>
    </row>
    <row r="29" spans="1:16" ht="19.5" customHeight="1" x14ac:dyDescent="0.25">
      <c r="A29" s="115" t="s">
        <v>176</v>
      </c>
      <c r="B29" s="12" t="s">
        <v>102</v>
      </c>
      <c r="C29" s="30" t="s">
        <v>84</v>
      </c>
      <c r="D29" s="18" t="s">
        <v>6</v>
      </c>
      <c r="E29" s="108" t="s">
        <v>77</v>
      </c>
    </row>
    <row r="30" spans="1:16" ht="19.5" customHeight="1" x14ac:dyDescent="0.2">
      <c r="A30" s="116" t="s">
        <v>35</v>
      </c>
      <c r="B30" s="53"/>
      <c r="C30" s="44" t="e">
        <f>VLOOKUP($B$3&amp;A30&amp;B30,'Impact Fee'!D:E,2,FALSE)</f>
        <v>#N/A</v>
      </c>
      <c r="D30" s="52">
        <v>1</v>
      </c>
      <c r="E30" s="1" t="e">
        <f>D30*C30</f>
        <v>#N/A</v>
      </c>
    </row>
    <row r="31" spans="1:16" ht="19.5" customHeight="1" x14ac:dyDescent="0.2">
      <c r="A31" s="117" t="s">
        <v>20</v>
      </c>
      <c r="B31" s="62" t="str">
        <f>IF(B30="","",B30)</f>
        <v/>
      </c>
      <c r="C31" s="44" t="e">
        <f>VLOOKUP($B$3&amp;A31&amp;B31,'Impact Fee'!D:E,2,FALSE)</f>
        <v>#N/A</v>
      </c>
      <c r="D31" s="52">
        <f>D30</f>
        <v>1</v>
      </c>
      <c r="E31" s="1" t="e">
        <f t="shared" ref="E31:E32" si="0">D31*C31</f>
        <v>#N/A</v>
      </c>
    </row>
    <row r="32" spans="1:16" ht="19.5" customHeight="1" x14ac:dyDescent="0.2">
      <c r="A32" s="118" t="s">
        <v>19</v>
      </c>
      <c r="B32" s="62" t="str">
        <f>IF(B30="","",B30)</f>
        <v/>
      </c>
      <c r="C32" s="44" t="e">
        <f>VLOOKUP($B$3&amp;A32&amp;B32,'Impact Fee'!D:E,2,FALSE)</f>
        <v>#N/A</v>
      </c>
      <c r="D32" s="52">
        <f>D30</f>
        <v>1</v>
      </c>
      <c r="E32" s="1" t="e">
        <f t="shared" si="0"/>
        <v>#N/A</v>
      </c>
    </row>
    <row r="33" spans="1:6" ht="19.5" customHeight="1" thickBot="1" x14ac:dyDescent="0.3">
      <c r="A33" s="114" t="s">
        <v>0</v>
      </c>
      <c r="B33" s="29"/>
      <c r="C33" s="70"/>
      <c r="D33" s="94"/>
      <c r="E33" s="93">
        <f>SUMIF(E30:E32,"&lt;&gt;#N/A")</f>
        <v>0</v>
      </c>
    </row>
    <row r="34" spans="1:6" ht="19.5" customHeight="1" x14ac:dyDescent="0.25">
      <c r="A34" s="115" t="s">
        <v>177</v>
      </c>
      <c r="B34" s="12" t="s">
        <v>102</v>
      </c>
      <c r="C34" s="30" t="s">
        <v>84</v>
      </c>
      <c r="D34" s="18" t="s">
        <v>166</v>
      </c>
      <c r="E34" s="108" t="s">
        <v>77</v>
      </c>
    </row>
    <row r="35" spans="1:6" ht="19.5" customHeight="1" x14ac:dyDescent="0.25">
      <c r="A35" s="183" t="s">
        <v>178</v>
      </c>
      <c r="B35" s="184"/>
      <c r="C35" s="184"/>
      <c r="D35" s="184"/>
      <c r="E35" s="184"/>
      <c r="F35" s="142"/>
    </row>
    <row r="36" spans="1:6" ht="19.5" customHeight="1" x14ac:dyDescent="0.2">
      <c r="A36" s="116" t="s">
        <v>35</v>
      </c>
      <c r="B36" s="53"/>
      <c r="C36" s="44" t="e">
        <f>VLOOKUP($B$3&amp;A36&amp;B36,'Impact Fee'!D:E,2,FALSE)</f>
        <v>#N/A</v>
      </c>
      <c r="D36" s="52"/>
      <c r="E36" s="1" t="e">
        <f>D36*C36</f>
        <v>#N/A</v>
      </c>
    </row>
    <row r="37" spans="1:6" ht="19.5" customHeight="1" x14ac:dyDescent="0.2">
      <c r="A37" s="117" t="s">
        <v>20</v>
      </c>
      <c r="B37" s="62" t="str">
        <f>IF(B36="","",B36)</f>
        <v/>
      </c>
      <c r="C37" s="44" t="e">
        <f>VLOOKUP($B$3&amp;A37&amp;B37,'Impact Fee'!D:E,2,FALSE)</f>
        <v>#N/A</v>
      </c>
      <c r="D37" s="52"/>
      <c r="E37" s="1">
        <f>'Impact Fee'!E73</f>
        <v>0</v>
      </c>
    </row>
    <row r="38" spans="1:6" ht="19.5" customHeight="1" x14ac:dyDescent="0.2">
      <c r="A38" s="118" t="s">
        <v>19</v>
      </c>
      <c r="B38" s="62" t="str">
        <f>IF(B36="","",B36)</f>
        <v/>
      </c>
      <c r="C38" s="44" t="e">
        <f>VLOOKUP($B$3&amp;A38&amp;B38,'Impact Fee'!D:E,2,FALSE)</f>
        <v>#N/A</v>
      </c>
      <c r="D38" s="52"/>
      <c r="E38" s="1">
        <f>'Impact Fee'!E64</f>
        <v>0</v>
      </c>
    </row>
    <row r="39" spans="1:6" ht="19.5" customHeight="1" thickBot="1" x14ac:dyDescent="0.3">
      <c r="A39" s="143" t="s">
        <v>0</v>
      </c>
      <c r="B39" s="144"/>
      <c r="C39" s="145"/>
      <c r="D39" s="146"/>
      <c r="E39" s="93">
        <f>SUMIF(E36:E38,"&lt;&gt;#N/A")</f>
        <v>0</v>
      </c>
    </row>
    <row r="40" spans="1:6" ht="19.5" customHeight="1" x14ac:dyDescent="0.25">
      <c r="A40" s="180" t="s">
        <v>179</v>
      </c>
      <c r="B40" s="181"/>
      <c r="C40" s="181"/>
      <c r="D40" s="181"/>
      <c r="E40" s="182"/>
    </row>
    <row r="41" spans="1:6" ht="19.5" customHeight="1" x14ac:dyDescent="0.2">
      <c r="A41" s="116" t="s">
        <v>35</v>
      </c>
      <c r="B41" s="53"/>
      <c r="C41" s="44" t="e">
        <f>VLOOKUP($B$3&amp;A41&amp;B41,'Impact Fee'!D:E,2,FALSE)</f>
        <v>#N/A</v>
      </c>
      <c r="D41" s="52">
        <v>0</v>
      </c>
      <c r="E41" s="1" t="e">
        <f>D41*C41</f>
        <v>#N/A</v>
      </c>
    </row>
    <row r="42" spans="1:6" ht="19.5" customHeight="1" x14ac:dyDescent="0.2">
      <c r="A42" s="117" t="s">
        <v>20</v>
      </c>
      <c r="B42" s="62" t="str">
        <f>IF(B41="","",B41)</f>
        <v/>
      </c>
      <c r="C42" s="44" t="e">
        <f>VLOOKUP($B$3&amp;A42&amp;B42,'Impact Fee'!D:E,2,FALSE)</f>
        <v>#N/A</v>
      </c>
      <c r="D42" s="52">
        <v>0</v>
      </c>
      <c r="E42" s="1">
        <f>'Impact Fee'!E78</f>
        <v>0</v>
      </c>
    </row>
    <row r="43" spans="1:6" ht="19.5" customHeight="1" x14ac:dyDescent="0.2">
      <c r="A43" s="118" t="s">
        <v>19</v>
      </c>
      <c r="B43" s="62" t="str">
        <f>IF(B41="","",B41)</f>
        <v/>
      </c>
      <c r="C43" s="44" t="e">
        <f>VLOOKUP($B$3&amp;A43&amp;B43,'Impact Fee'!D:E,2,FALSE)</f>
        <v>#N/A</v>
      </c>
      <c r="D43" s="52">
        <v>0</v>
      </c>
      <c r="E43" s="1">
        <f>'Impact Fee'!E69</f>
        <v>0</v>
      </c>
    </row>
    <row r="44" spans="1:6" ht="19.5" customHeight="1" thickBot="1" x14ac:dyDescent="0.3">
      <c r="A44" s="114" t="s">
        <v>0</v>
      </c>
      <c r="B44" s="29"/>
      <c r="C44" s="70"/>
      <c r="D44" s="94"/>
      <c r="E44" s="93">
        <f>SUMIF(E41:E43,"&lt;&gt;#N/A")</f>
        <v>0</v>
      </c>
    </row>
    <row r="45" spans="1:6" ht="25.5" customHeight="1" x14ac:dyDescent="0.25">
      <c r="A45" s="119" t="s">
        <v>182</v>
      </c>
      <c r="B45" s="8"/>
      <c r="C45" s="30" t="s">
        <v>84</v>
      </c>
      <c r="D45" s="17" t="s">
        <v>6</v>
      </c>
      <c r="E45" s="108" t="s">
        <v>77</v>
      </c>
    </row>
    <row r="46" spans="1:6" ht="15" x14ac:dyDescent="0.2">
      <c r="A46" s="116" t="s">
        <v>35</v>
      </c>
      <c r="B46" s="53"/>
      <c r="C46" s="44" t="e">
        <f>VLOOKUP($B$3&amp;A46&amp;B46,'Impact Fee'!D:E,2,FALSE)</f>
        <v>#N/A</v>
      </c>
      <c r="D46" s="52"/>
      <c r="E46" s="1" t="e">
        <f>D46*C46</f>
        <v>#N/A</v>
      </c>
    </row>
    <row r="47" spans="1:6" ht="26.1" customHeight="1" x14ac:dyDescent="0.2">
      <c r="A47" s="118" t="s">
        <v>19</v>
      </c>
      <c r="B47" s="62" t="str">
        <f>IF(B46="","",B46)</f>
        <v/>
      </c>
      <c r="C47" s="44" t="e">
        <f>VLOOKUP($B$3&amp;A47&amp;B47,'Impact Fee'!D:E,2,FALSE)</f>
        <v>#N/A</v>
      </c>
      <c r="D47" s="61">
        <f>D46</f>
        <v>0</v>
      </c>
      <c r="E47" s="1" t="e">
        <f>D47*C47</f>
        <v>#N/A</v>
      </c>
    </row>
    <row r="48" spans="1:6" ht="19.5" customHeight="1" thickBot="1" x14ac:dyDescent="0.3">
      <c r="A48" s="114" t="s">
        <v>0</v>
      </c>
      <c r="B48" s="29"/>
      <c r="C48" s="63"/>
      <c r="D48" s="92"/>
      <c r="E48" s="91">
        <f>SUMIF(E46:E47,"&lt;&gt;#N/A")</f>
        <v>0</v>
      </c>
    </row>
    <row r="49" spans="1:5" ht="25.5" customHeight="1" x14ac:dyDescent="0.25">
      <c r="A49" s="120" t="s">
        <v>22</v>
      </c>
      <c r="B49" s="86"/>
      <c r="C49" s="87"/>
      <c r="D49" s="88"/>
      <c r="E49" s="121"/>
    </row>
    <row r="50" spans="1:5" ht="19.5" customHeight="1" x14ac:dyDescent="0.2">
      <c r="A50" s="116" t="s">
        <v>23</v>
      </c>
      <c r="B50" s="64"/>
      <c r="C50" s="89"/>
      <c r="D50" s="126" t="s">
        <v>132</v>
      </c>
      <c r="E50" s="14" t="e">
        <f>VLOOKUP(B3,List!Q:R,2,FALSE)</f>
        <v>#N/A</v>
      </c>
    </row>
    <row r="51" spans="1:5" ht="19.5" customHeight="1" thickBot="1" x14ac:dyDescent="0.3">
      <c r="A51" s="114" t="s">
        <v>0</v>
      </c>
      <c r="B51" s="29"/>
      <c r="C51" s="29"/>
      <c r="D51" s="65"/>
      <c r="E51" s="22" t="e">
        <f>E50</f>
        <v>#N/A</v>
      </c>
    </row>
    <row r="52" spans="1:5" ht="19.5" customHeight="1" x14ac:dyDescent="0.3">
      <c r="A52" s="122" t="s">
        <v>7</v>
      </c>
      <c r="B52" s="66"/>
      <c r="C52" s="66"/>
      <c r="D52" s="67"/>
      <c r="E52" s="13" t="e">
        <f>SUM(E22+E28+E33+E39+E44+E48+E50)</f>
        <v>#N/A</v>
      </c>
    </row>
    <row r="53" spans="1:5" ht="19.5" customHeight="1" x14ac:dyDescent="0.3">
      <c r="A53" s="123" t="s">
        <v>165</v>
      </c>
      <c r="B53" s="68"/>
      <c r="C53" s="68"/>
      <c r="D53" s="69"/>
      <c r="E53" s="135">
        <v>102</v>
      </c>
    </row>
    <row r="54" spans="1:5" ht="19.5" customHeight="1" x14ac:dyDescent="0.3">
      <c r="A54" s="123" t="s">
        <v>8</v>
      </c>
      <c r="B54" s="68"/>
      <c r="C54" s="68"/>
      <c r="D54" s="69"/>
      <c r="E54" s="19" t="e">
        <f>SUM(E52:E53)</f>
        <v>#N/A</v>
      </c>
    </row>
    <row r="55" spans="1:5" s="16" customFormat="1" ht="19.5" customHeight="1" x14ac:dyDescent="0.2">
      <c r="A55" s="125" t="s">
        <v>129</v>
      </c>
      <c r="B55" s="157"/>
      <c r="C55" s="158"/>
      <c r="D55" s="158"/>
      <c r="E55" s="159"/>
    </row>
    <row r="56" spans="1:5" ht="19.5" customHeight="1" x14ac:dyDescent="0.2">
      <c r="A56" s="124" t="s">
        <v>25</v>
      </c>
      <c r="B56" s="174"/>
      <c r="C56" s="175"/>
      <c r="D56" s="175"/>
      <c r="E56" s="176"/>
    </row>
    <row r="57" spans="1:5" ht="19.5" customHeight="1" x14ac:dyDescent="0.25">
      <c r="A57" s="170"/>
      <c r="B57" s="171"/>
      <c r="C57" s="172"/>
      <c r="D57" s="172"/>
      <c r="E57" s="173"/>
    </row>
    <row r="58" spans="1:5" ht="50.1" customHeight="1" x14ac:dyDescent="0.25">
      <c r="A58" s="163" t="s">
        <v>3</v>
      </c>
      <c r="B58" s="164"/>
      <c r="C58" s="164"/>
      <c r="D58" s="164"/>
      <c r="E58" s="165"/>
    </row>
    <row r="59" spans="1:5" ht="12.95" customHeight="1" x14ac:dyDescent="0.2">
      <c r="A59" s="166" t="s">
        <v>10</v>
      </c>
      <c r="B59" s="167"/>
      <c r="C59" s="168"/>
      <c r="D59" s="168"/>
      <c r="E59" s="169"/>
    </row>
    <row r="60" spans="1:5" ht="12.95" customHeight="1" x14ac:dyDescent="0.2">
      <c r="A60" s="177" t="s">
        <v>4</v>
      </c>
      <c r="B60" s="178"/>
      <c r="C60" s="178"/>
      <c r="D60" s="178"/>
      <c r="E60" s="179"/>
    </row>
    <row r="61" spans="1:5" ht="12.95" customHeight="1" thickBot="1" x14ac:dyDescent="0.25">
      <c r="A61" s="160" t="s">
        <v>181</v>
      </c>
      <c r="B61" s="161"/>
      <c r="C61" s="161"/>
      <c r="D61" s="161"/>
      <c r="E61" s="162"/>
    </row>
  </sheetData>
  <sheetProtection selectLockedCells="1"/>
  <mergeCells count="12">
    <mergeCell ref="B1:E1"/>
    <mergeCell ref="B2:E2"/>
    <mergeCell ref="B3:E3"/>
    <mergeCell ref="B55:E55"/>
    <mergeCell ref="A61:E61"/>
    <mergeCell ref="A58:E58"/>
    <mergeCell ref="A59:E59"/>
    <mergeCell ref="A57:E57"/>
    <mergeCell ref="B56:E56"/>
    <mergeCell ref="A60:E60"/>
    <mergeCell ref="A40:E40"/>
    <mergeCell ref="A35:E35"/>
  </mergeCells>
  <dataValidations count="2">
    <dataValidation type="list" allowBlank="1" showInputMessage="1" showErrorMessage="1" sqref="A23:B23" xr:uid="{00000000-0002-0000-0000-000000000000}">
      <formula1>Category</formula1>
    </dataValidation>
    <dataValidation type="list" allowBlank="1" showInputMessage="1" showErrorMessage="1" prompt="North = North of the Gila River_x000a_South = South of the Gila River" sqref="B3:E3" xr:uid="{00000000-0002-0000-0000-000001000000}">
      <formula1>Area</formula1>
    </dataValidation>
  </dataValidations>
  <printOptions horizontalCentered="1" verticalCentered="1"/>
  <pageMargins left="0.75" right="0.75" top="0.75" bottom="0.25" header="0.25" footer="0.5"/>
  <pageSetup scale="55" orientation="portrait" r:id="rId1"/>
  <headerFooter alignWithMargins="0">
    <oddHeader>&amp;L&amp;G&amp;C
&amp;"Arial,Bold"&amp;22Fee Quote</oddHeader>
  </headerFooter>
  <drawing r:id="rId2"/>
  <legacyDrawing r:id="rId3"/>
  <legacyDrawingHF r:id="rId4"/>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'Valuation Table'!$B$2:$B$28</xm:f>
          </x14:formula1>
          <xm:sqref>B5 B9 B7 B11</xm:sqref>
        </x14:dataValidation>
        <x14:dataValidation type="list" allowBlank="1" showInputMessage="1" showErrorMessage="1" xr:uid="{00000000-0002-0000-0000-000004000000}">
          <x14:formula1>
            <xm:f>List!$C$2:$C$4</xm:f>
          </x14:formula1>
          <xm:sqref>B14</xm:sqref>
        </x14:dataValidation>
        <x14:dataValidation type="list" allowBlank="1" showInputMessage="1" showErrorMessage="1" xr:uid="{00000000-0002-0000-0000-000005000000}">
          <x14:formula1>
            <xm:f>List!$O$2:$O$6</xm:f>
          </x14:formula1>
          <xm:sqref>B24</xm:sqref>
        </x14:dataValidation>
        <x14:dataValidation type="list" allowBlank="1" showInputMessage="1" showErrorMessage="1" xr:uid="{00000000-0002-0000-0000-000007000000}">
          <x14:formula1>
            <xm:f>List!$G$3:$G$15</xm:f>
          </x14:formula1>
          <xm:sqref>B46</xm:sqref>
        </x14:dataValidation>
        <x14:dataValidation type="list" allowBlank="1" showInputMessage="1" showErrorMessage="1" xr:uid="{9D084FA2-0B5F-459B-9CD3-89C24513418F}">
          <x14:formula1>
            <xm:f>List!$G$2:$G$6</xm:f>
          </x14:formula1>
          <xm:sqref>B30</xm:sqref>
        </x14:dataValidation>
        <x14:dataValidation type="list" allowBlank="1" showInputMessage="1" showErrorMessage="1" xr:uid="{55164B8F-37E8-446D-8578-938378DE4CBC}">
          <x14:formula1>
            <xm:f>List!$G$7:$G$17</xm:f>
          </x14:formula1>
          <xm:sqref>B41 B36</xm:sqref>
        </x14:dataValidation>
        <x14:dataValidation type="list" allowBlank="1" showInputMessage="1" showErrorMessage="1" xr:uid="{00000000-0002-0000-0000-000003000000}">
          <x14:formula1>
            <xm:f>'Valuation Table'!$C$1:$J$1</xm:f>
          </x14:formula1>
          <xm:sqref>B10 B12:B13 B8</xm:sqref>
        </x14:dataValidation>
        <x14:dataValidation type="list" allowBlank="1" showInputMessage="1" showErrorMessage="1" xr:uid="{90A07B79-747F-4C59-B1FE-6287AC9F78FE}">
          <x14:formula1>
            <xm:f>'Valuation Table'!$C$1:$K$1</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7"/>
  <sheetViews>
    <sheetView workbookViewId="0">
      <selection activeCell="G20" sqref="G20"/>
    </sheetView>
  </sheetViews>
  <sheetFormatPr defaultRowHeight="12.75" x14ac:dyDescent="0.2"/>
  <cols>
    <col min="3" max="3" width="18.42578125" bestFit="1" customWidth="1"/>
    <col min="4" max="4" width="4.140625" bestFit="1" customWidth="1"/>
    <col min="5" max="5" width="10.85546875" customWidth="1"/>
    <col min="7" max="7" width="22.140625" bestFit="1" customWidth="1"/>
    <col min="9" max="9" width="21.140625" bestFit="1" customWidth="1"/>
    <col min="11" max="11" width="26.28515625" bestFit="1" customWidth="1"/>
    <col min="13" max="13" width="21.42578125" bestFit="1" customWidth="1"/>
    <col min="15" max="15" width="14.5703125" bestFit="1" customWidth="1"/>
    <col min="17" max="17" width="16.28515625" bestFit="1" customWidth="1"/>
    <col min="18" max="18" width="4.140625" bestFit="1" customWidth="1"/>
  </cols>
  <sheetData>
    <row r="1" spans="1:21" x14ac:dyDescent="0.2">
      <c r="A1" s="48" t="s">
        <v>80</v>
      </c>
      <c r="C1" s="47" t="s">
        <v>121</v>
      </c>
      <c r="D1" s="47" t="s">
        <v>84</v>
      </c>
      <c r="E1" s="47" t="s">
        <v>126</v>
      </c>
      <c r="G1" s="47" t="s">
        <v>130</v>
      </c>
      <c r="I1" s="47" t="s">
        <v>35</v>
      </c>
      <c r="K1" s="47" t="s">
        <v>20</v>
      </c>
      <c r="M1" s="47" t="s">
        <v>19</v>
      </c>
      <c r="O1" s="48" t="s">
        <v>32</v>
      </c>
      <c r="Q1" s="48" t="s">
        <v>104</v>
      </c>
      <c r="R1" s="48" t="s">
        <v>84</v>
      </c>
      <c r="T1" s="48"/>
      <c r="U1" s="47"/>
    </row>
    <row r="2" spans="1:21" x14ac:dyDescent="0.2">
      <c r="A2" s="48"/>
      <c r="C2" s="47" t="s">
        <v>85</v>
      </c>
      <c r="D2" s="48">
        <v>0</v>
      </c>
      <c r="E2" s="48" t="s">
        <v>127</v>
      </c>
      <c r="G2" s="47"/>
      <c r="I2" s="47"/>
      <c r="K2" s="49" t="s">
        <v>91</v>
      </c>
      <c r="M2" s="49" t="s">
        <v>96</v>
      </c>
      <c r="O2" s="48" t="s">
        <v>132</v>
      </c>
      <c r="Q2" s="48" t="s">
        <v>16</v>
      </c>
      <c r="R2" s="48">
        <v>50</v>
      </c>
      <c r="T2" s="48"/>
      <c r="U2" s="48"/>
    </row>
    <row r="3" spans="1:21" x14ac:dyDescent="0.2">
      <c r="A3" s="48" t="s">
        <v>16</v>
      </c>
      <c r="C3" s="47" t="s">
        <v>120</v>
      </c>
      <c r="D3" s="48">
        <v>0</v>
      </c>
      <c r="E3" s="48" t="s">
        <v>128</v>
      </c>
      <c r="G3" s="49" t="s">
        <v>37</v>
      </c>
      <c r="I3" s="49" t="s">
        <v>86</v>
      </c>
      <c r="K3" s="47" t="s">
        <v>92</v>
      </c>
      <c r="M3" s="47" t="s">
        <v>97</v>
      </c>
      <c r="O3" s="48" t="s">
        <v>26</v>
      </c>
      <c r="Q3" s="48" t="s">
        <v>18</v>
      </c>
      <c r="R3" s="48">
        <v>60</v>
      </c>
      <c r="T3" s="48"/>
      <c r="U3" s="48"/>
    </row>
    <row r="4" spans="1:21" x14ac:dyDescent="0.2">
      <c r="A4" s="48" t="s">
        <v>17</v>
      </c>
      <c r="C4" s="47" t="s">
        <v>119</v>
      </c>
      <c r="D4" s="48">
        <v>0</v>
      </c>
      <c r="E4" s="48" t="s">
        <v>128</v>
      </c>
      <c r="G4" s="47" t="s">
        <v>38</v>
      </c>
      <c r="I4" s="47" t="s">
        <v>87</v>
      </c>
      <c r="K4" s="47" t="s">
        <v>93</v>
      </c>
      <c r="M4" s="47" t="s">
        <v>98</v>
      </c>
      <c r="O4" s="48" t="s">
        <v>27</v>
      </c>
      <c r="Q4" s="48" t="s">
        <v>17</v>
      </c>
      <c r="R4" s="48">
        <v>60</v>
      </c>
    </row>
    <row r="5" spans="1:21" x14ac:dyDescent="0.2">
      <c r="G5" s="47" t="s">
        <v>36</v>
      </c>
      <c r="I5" s="47" t="s">
        <v>88</v>
      </c>
      <c r="K5" s="47" t="s">
        <v>153</v>
      </c>
      <c r="M5" s="47" t="s">
        <v>99</v>
      </c>
      <c r="O5" s="48" t="s">
        <v>28</v>
      </c>
    </row>
    <row r="6" spans="1:21" x14ac:dyDescent="0.2">
      <c r="G6" s="47" t="s">
        <v>146</v>
      </c>
      <c r="I6" s="47" t="s">
        <v>147</v>
      </c>
      <c r="K6" s="47" t="s">
        <v>94</v>
      </c>
      <c r="M6" s="47" t="s">
        <v>154</v>
      </c>
      <c r="O6" s="48" t="s">
        <v>29</v>
      </c>
    </row>
    <row r="7" spans="1:21" x14ac:dyDescent="0.2">
      <c r="G7" s="47"/>
      <c r="I7" s="47" t="s">
        <v>145</v>
      </c>
      <c r="K7" s="47" t="s">
        <v>95</v>
      </c>
      <c r="M7" s="47" t="s">
        <v>155</v>
      </c>
    </row>
    <row r="8" spans="1:21" x14ac:dyDescent="0.2">
      <c r="G8" s="47" t="s">
        <v>141</v>
      </c>
      <c r="I8" s="47" t="s">
        <v>148</v>
      </c>
      <c r="K8" s="47" t="s">
        <v>137</v>
      </c>
      <c r="M8" s="47" t="s">
        <v>100</v>
      </c>
    </row>
    <row r="9" spans="1:21" x14ac:dyDescent="0.2">
      <c r="G9" s="47" t="s">
        <v>142</v>
      </c>
      <c r="I9" s="47" t="s">
        <v>89</v>
      </c>
      <c r="K9" s="47" t="s">
        <v>139</v>
      </c>
      <c r="M9" s="47" t="s">
        <v>156</v>
      </c>
    </row>
    <row r="10" spans="1:21" x14ac:dyDescent="0.2">
      <c r="G10" s="47" t="s">
        <v>39</v>
      </c>
      <c r="I10" s="47" t="s">
        <v>149</v>
      </c>
      <c r="M10" s="47" t="s">
        <v>101</v>
      </c>
    </row>
    <row r="11" spans="1:21" x14ac:dyDescent="0.2">
      <c r="G11" s="47" t="s">
        <v>143</v>
      </c>
      <c r="I11" s="47" t="s">
        <v>90</v>
      </c>
      <c r="M11" s="47" t="s">
        <v>157</v>
      </c>
    </row>
    <row r="12" spans="1:21" x14ac:dyDescent="0.2">
      <c r="G12" s="47" t="s">
        <v>40</v>
      </c>
      <c r="I12" s="47" t="s">
        <v>150</v>
      </c>
      <c r="M12" s="47" t="s">
        <v>138</v>
      </c>
    </row>
    <row r="13" spans="1:21" x14ac:dyDescent="0.2">
      <c r="G13" s="47" t="s">
        <v>144</v>
      </c>
      <c r="I13" s="47" t="s">
        <v>151</v>
      </c>
      <c r="M13" s="47" t="s">
        <v>162</v>
      </c>
    </row>
    <row r="14" spans="1:21" x14ac:dyDescent="0.2">
      <c r="G14" s="47" t="s">
        <v>135</v>
      </c>
      <c r="I14" s="47" t="s">
        <v>161</v>
      </c>
      <c r="M14" s="47" t="s">
        <v>140</v>
      </c>
    </row>
    <row r="15" spans="1:21" x14ac:dyDescent="0.2">
      <c r="G15" s="47" t="s">
        <v>158</v>
      </c>
      <c r="I15" s="47" t="s">
        <v>152</v>
      </c>
      <c r="M15" s="47" t="s">
        <v>163</v>
      </c>
    </row>
    <row r="16" spans="1:21" x14ac:dyDescent="0.2">
      <c r="G16" s="47" t="s">
        <v>136</v>
      </c>
      <c r="I16" s="47" t="s">
        <v>160</v>
      </c>
    </row>
    <row r="17" spans="7:7" x14ac:dyDescent="0.2">
      <c r="G17" s="47" t="s">
        <v>159</v>
      </c>
    </row>
  </sheetData>
  <dataValidations count="2">
    <dataValidation type="list" allowBlank="1" showInputMessage="1" showErrorMessage="1" sqref="G2" xr:uid="{B20AAE02-3802-4ACE-93CE-91EAA2B6627A}">
      <formula1>$G$2:$G$16</formula1>
    </dataValidation>
    <dataValidation type="list" allowBlank="1" showInputMessage="1" showErrorMessage="1" sqref="I2:I3" xr:uid="{A656A076-1F29-48F4-B0D5-B8BF723CF09F}">
      <formula1>$I$2:$I$16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85"/>
  <sheetViews>
    <sheetView topLeftCell="A4" zoomScaleNormal="100" workbookViewId="0">
      <selection activeCell="E42" sqref="E42"/>
    </sheetView>
  </sheetViews>
  <sheetFormatPr defaultRowHeight="12.75" x14ac:dyDescent="0.2"/>
  <cols>
    <col min="2" max="2" width="12.5703125" customWidth="1"/>
    <col min="3" max="3" width="14.5703125" bestFit="1" customWidth="1"/>
    <col min="4" max="4" width="39.42578125" customWidth="1"/>
    <col min="5" max="5" width="12.85546875" style="25" bestFit="1" customWidth="1"/>
    <col min="6" max="6" width="21.7109375" bestFit="1" customWidth="1"/>
  </cols>
  <sheetData>
    <row r="1" spans="1:5" x14ac:dyDescent="0.2">
      <c r="A1" t="s">
        <v>30</v>
      </c>
      <c r="B1" t="s">
        <v>31</v>
      </c>
      <c r="C1" t="s">
        <v>32</v>
      </c>
      <c r="D1" s="132" t="s">
        <v>34</v>
      </c>
      <c r="E1" s="25" t="s">
        <v>33</v>
      </c>
    </row>
    <row r="2" spans="1:5" x14ac:dyDescent="0.2">
      <c r="A2" t="s">
        <v>16</v>
      </c>
      <c r="B2" t="s">
        <v>14</v>
      </c>
      <c r="C2" t="s">
        <v>26</v>
      </c>
      <c r="D2" s="133" t="str">
        <f>A2&amp;B2&amp;C2</f>
        <v>NorthParks and RecreationIndustrial</v>
      </c>
      <c r="E2" s="138">
        <v>32</v>
      </c>
    </row>
    <row r="3" spans="1:5" x14ac:dyDescent="0.2">
      <c r="A3" t="s">
        <v>16</v>
      </c>
      <c r="B3" t="s">
        <v>14</v>
      </c>
      <c r="C3" t="s">
        <v>27</v>
      </c>
      <c r="D3" s="133" t="str">
        <f t="shared" ref="D3:D63" si="0">A3&amp;B3&amp;C3</f>
        <v>NorthParks and RecreationCommercial</v>
      </c>
      <c r="E3" s="138">
        <v>58</v>
      </c>
    </row>
    <row r="4" spans="1:5" x14ac:dyDescent="0.2">
      <c r="A4" t="s">
        <v>16</v>
      </c>
      <c r="B4" t="s">
        <v>14</v>
      </c>
      <c r="C4" t="s">
        <v>28</v>
      </c>
      <c r="D4" s="133" t="str">
        <f t="shared" si="0"/>
        <v>NorthParks and RecreationInstitutional</v>
      </c>
      <c r="E4" s="138">
        <v>83</v>
      </c>
    </row>
    <row r="5" spans="1:5" x14ac:dyDescent="0.2">
      <c r="A5" t="s">
        <v>16</v>
      </c>
      <c r="B5" t="s">
        <v>14</v>
      </c>
      <c r="C5" t="s">
        <v>29</v>
      </c>
      <c r="D5" s="133" t="str">
        <f t="shared" si="0"/>
        <v>NorthParks and RecreationOffice and Other</v>
      </c>
      <c r="E5" s="138">
        <v>90</v>
      </c>
    </row>
    <row r="6" spans="1:5" x14ac:dyDescent="0.2">
      <c r="A6" t="s">
        <v>16</v>
      </c>
      <c r="B6" s="20" t="s">
        <v>15</v>
      </c>
      <c r="C6" t="s">
        <v>26</v>
      </c>
      <c r="D6" s="133" t="str">
        <f t="shared" si="0"/>
        <v>NorthStreetsIndustrial</v>
      </c>
      <c r="E6" s="138">
        <v>0</v>
      </c>
    </row>
    <row r="7" spans="1:5" x14ac:dyDescent="0.2">
      <c r="A7" t="s">
        <v>16</v>
      </c>
      <c r="B7" s="20" t="s">
        <v>15</v>
      </c>
      <c r="C7" t="s">
        <v>27</v>
      </c>
      <c r="D7" s="133" t="str">
        <f t="shared" si="0"/>
        <v>NorthStreetsCommercial</v>
      </c>
      <c r="E7" s="138">
        <v>0</v>
      </c>
    </row>
    <row r="8" spans="1:5" x14ac:dyDescent="0.2">
      <c r="A8" t="s">
        <v>16</v>
      </c>
      <c r="B8" s="20" t="s">
        <v>15</v>
      </c>
      <c r="C8" t="s">
        <v>28</v>
      </c>
      <c r="D8" s="133" t="str">
        <f t="shared" si="0"/>
        <v>NorthStreetsInstitutional</v>
      </c>
      <c r="E8" s="138">
        <v>0</v>
      </c>
    </row>
    <row r="9" spans="1:5" x14ac:dyDescent="0.2">
      <c r="A9" t="s">
        <v>16</v>
      </c>
      <c r="B9" s="20" t="s">
        <v>15</v>
      </c>
      <c r="C9" t="s">
        <v>29</v>
      </c>
      <c r="D9" s="133" t="str">
        <f t="shared" si="0"/>
        <v>NorthStreetsOffice and Other</v>
      </c>
      <c r="E9" s="138">
        <v>0</v>
      </c>
    </row>
    <row r="10" spans="1:5" x14ac:dyDescent="0.2">
      <c r="A10" t="s">
        <v>16</v>
      </c>
      <c r="B10" s="20" t="s">
        <v>13</v>
      </c>
      <c r="C10" t="s">
        <v>26</v>
      </c>
      <c r="D10" s="133" t="str">
        <f t="shared" si="0"/>
        <v>NorthPoliceIndustrial</v>
      </c>
      <c r="E10" s="138">
        <v>464</v>
      </c>
    </row>
    <row r="11" spans="1:5" x14ac:dyDescent="0.2">
      <c r="A11" t="s">
        <v>16</v>
      </c>
      <c r="B11" s="20" t="s">
        <v>13</v>
      </c>
      <c r="C11" t="s">
        <v>27</v>
      </c>
      <c r="D11" s="133" t="str">
        <f t="shared" si="0"/>
        <v>NorthPoliceCommercial</v>
      </c>
      <c r="E11" s="138">
        <v>851</v>
      </c>
    </row>
    <row r="12" spans="1:5" x14ac:dyDescent="0.2">
      <c r="A12" t="s">
        <v>16</v>
      </c>
      <c r="B12" s="20" t="s">
        <v>13</v>
      </c>
      <c r="C12" t="s">
        <v>28</v>
      </c>
      <c r="D12" s="133" t="str">
        <f t="shared" si="0"/>
        <v>NorthPoliceInstitutional</v>
      </c>
      <c r="E12" s="138">
        <v>1214</v>
      </c>
    </row>
    <row r="13" spans="1:5" x14ac:dyDescent="0.2">
      <c r="A13" t="s">
        <v>16</v>
      </c>
      <c r="B13" s="20" t="s">
        <v>13</v>
      </c>
      <c r="C13" t="s">
        <v>29</v>
      </c>
      <c r="D13" s="133" t="str">
        <f t="shared" si="0"/>
        <v>NorthPoliceOffice and Other</v>
      </c>
      <c r="E13" s="138">
        <v>1303</v>
      </c>
    </row>
    <row r="14" spans="1:5" x14ac:dyDescent="0.2">
      <c r="A14" t="s">
        <v>16</v>
      </c>
      <c r="B14" s="20" t="s">
        <v>12</v>
      </c>
      <c r="C14" t="s">
        <v>26</v>
      </c>
      <c r="D14" s="133" t="str">
        <f t="shared" si="0"/>
        <v>NorthFireIndustrial</v>
      </c>
      <c r="E14" s="138">
        <v>625</v>
      </c>
    </row>
    <row r="15" spans="1:5" x14ac:dyDescent="0.2">
      <c r="A15" t="s">
        <v>16</v>
      </c>
      <c r="B15" s="20" t="s">
        <v>12</v>
      </c>
      <c r="C15" t="s">
        <v>27</v>
      </c>
      <c r="D15" s="133" t="str">
        <f t="shared" si="0"/>
        <v>NorthFireCommercial</v>
      </c>
      <c r="E15" s="138">
        <v>1147</v>
      </c>
    </row>
    <row r="16" spans="1:5" x14ac:dyDescent="0.2">
      <c r="A16" t="s">
        <v>16</v>
      </c>
      <c r="B16" s="20" t="s">
        <v>12</v>
      </c>
      <c r="C16" t="s">
        <v>28</v>
      </c>
      <c r="D16" s="133" t="str">
        <f t="shared" si="0"/>
        <v>NorthFireInstitutional</v>
      </c>
      <c r="E16" s="138">
        <v>1638</v>
      </c>
    </row>
    <row r="17" spans="1:5" x14ac:dyDescent="0.2">
      <c r="A17" t="s">
        <v>16</v>
      </c>
      <c r="B17" s="20" t="s">
        <v>12</v>
      </c>
      <c r="C17" t="s">
        <v>29</v>
      </c>
      <c r="D17" s="133" t="str">
        <f t="shared" si="0"/>
        <v>NorthFireOffice and Other</v>
      </c>
      <c r="E17" s="138">
        <v>1758</v>
      </c>
    </row>
    <row r="18" spans="1:5" x14ac:dyDescent="0.2">
      <c r="A18" s="20" t="s">
        <v>17</v>
      </c>
      <c r="B18" t="s">
        <v>14</v>
      </c>
      <c r="C18" t="s">
        <v>26</v>
      </c>
      <c r="D18" s="133" t="str">
        <f t="shared" si="0"/>
        <v>SouthParks and RecreationIndustrial</v>
      </c>
      <c r="E18" s="138">
        <v>41</v>
      </c>
    </row>
    <row r="19" spans="1:5" x14ac:dyDescent="0.2">
      <c r="A19" s="20" t="s">
        <v>17</v>
      </c>
      <c r="B19" t="s">
        <v>14</v>
      </c>
      <c r="C19" t="s">
        <v>27</v>
      </c>
      <c r="D19" s="133" t="str">
        <f t="shared" si="0"/>
        <v>SouthParks and RecreationCommercial</v>
      </c>
      <c r="E19" s="138">
        <v>75</v>
      </c>
    </row>
    <row r="20" spans="1:5" x14ac:dyDescent="0.2">
      <c r="A20" s="20" t="s">
        <v>17</v>
      </c>
      <c r="B20" t="s">
        <v>14</v>
      </c>
      <c r="C20" t="s">
        <v>28</v>
      </c>
      <c r="D20" s="133" t="str">
        <f t="shared" si="0"/>
        <v>SouthParks and RecreationInstitutional</v>
      </c>
      <c r="E20" s="138">
        <v>107</v>
      </c>
    </row>
    <row r="21" spans="1:5" x14ac:dyDescent="0.2">
      <c r="A21" s="20" t="s">
        <v>17</v>
      </c>
      <c r="B21" t="s">
        <v>14</v>
      </c>
      <c r="C21" t="s">
        <v>29</v>
      </c>
      <c r="D21" s="133" t="str">
        <f t="shared" si="0"/>
        <v>SouthParks and RecreationOffice and Other</v>
      </c>
      <c r="E21" s="138">
        <v>116</v>
      </c>
    </row>
    <row r="22" spans="1:5" x14ac:dyDescent="0.2">
      <c r="A22" s="20" t="s">
        <v>17</v>
      </c>
      <c r="B22" s="20" t="s">
        <v>15</v>
      </c>
      <c r="C22" t="s">
        <v>26</v>
      </c>
      <c r="D22" s="133" t="str">
        <f t="shared" si="0"/>
        <v>SouthStreetsIndustrial</v>
      </c>
      <c r="E22" s="138">
        <v>0</v>
      </c>
    </row>
    <row r="23" spans="1:5" x14ac:dyDescent="0.2">
      <c r="A23" s="20" t="s">
        <v>17</v>
      </c>
      <c r="B23" s="20" t="s">
        <v>15</v>
      </c>
      <c r="C23" t="s">
        <v>27</v>
      </c>
      <c r="D23" s="133" t="str">
        <f t="shared" si="0"/>
        <v>SouthStreetsCommercial</v>
      </c>
      <c r="E23" s="138">
        <v>0</v>
      </c>
    </row>
    <row r="24" spans="1:5" x14ac:dyDescent="0.2">
      <c r="A24" s="20" t="s">
        <v>17</v>
      </c>
      <c r="B24" s="20" t="s">
        <v>15</v>
      </c>
      <c r="C24" t="s">
        <v>28</v>
      </c>
      <c r="D24" s="133" t="str">
        <f t="shared" si="0"/>
        <v>SouthStreetsInstitutional</v>
      </c>
      <c r="E24" s="138">
        <v>0</v>
      </c>
    </row>
    <row r="25" spans="1:5" x14ac:dyDescent="0.2">
      <c r="A25" s="20" t="s">
        <v>17</v>
      </c>
      <c r="B25" s="20" t="s">
        <v>15</v>
      </c>
      <c r="C25" t="s">
        <v>29</v>
      </c>
      <c r="D25" s="133" t="str">
        <f t="shared" si="0"/>
        <v>SouthStreetsOffice and Other</v>
      </c>
      <c r="E25" s="138">
        <v>0</v>
      </c>
    </row>
    <row r="26" spans="1:5" x14ac:dyDescent="0.2">
      <c r="A26" s="20" t="s">
        <v>17</v>
      </c>
      <c r="B26" s="20" t="s">
        <v>13</v>
      </c>
      <c r="C26" t="s">
        <v>26</v>
      </c>
      <c r="D26" s="133" t="str">
        <f t="shared" si="0"/>
        <v>SouthPoliceIndustrial</v>
      </c>
      <c r="E26" s="138">
        <v>464</v>
      </c>
    </row>
    <row r="27" spans="1:5" x14ac:dyDescent="0.2">
      <c r="A27" s="20" t="s">
        <v>17</v>
      </c>
      <c r="B27" s="20" t="s">
        <v>13</v>
      </c>
      <c r="C27" t="s">
        <v>27</v>
      </c>
      <c r="D27" s="133" t="str">
        <f t="shared" si="0"/>
        <v>SouthPoliceCommercial</v>
      </c>
      <c r="E27" s="138">
        <v>851</v>
      </c>
    </row>
    <row r="28" spans="1:5" x14ac:dyDescent="0.2">
      <c r="A28" s="20" t="s">
        <v>17</v>
      </c>
      <c r="B28" s="20" t="s">
        <v>13</v>
      </c>
      <c r="C28" t="s">
        <v>28</v>
      </c>
      <c r="D28" s="133" t="str">
        <f t="shared" si="0"/>
        <v>SouthPoliceInstitutional</v>
      </c>
      <c r="E28" s="138">
        <v>1214</v>
      </c>
    </row>
    <row r="29" spans="1:5" x14ac:dyDescent="0.2">
      <c r="A29" s="20" t="s">
        <v>17</v>
      </c>
      <c r="B29" s="20" t="s">
        <v>13</v>
      </c>
      <c r="C29" t="s">
        <v>29</v>
      </c>
      <c r="D29" s="133" t="str">
        <f t="shared" si="0"/>
        <v>SouthPoliceOffice and Other</v>
      </c>
      <c r="E29" s="138">
        <v>1303</v>
      </c>
    </row>
    <row r="30" spans="1:5" x14ac:dyDescent="0.2">
      <c r="A30" s="20" t="s">
        <v>17</v>
      </c>
      <c r="B30" s="20" t="s">
        <v>12</v>
      </c>
      <c r="C30" t="s">
        <v>26</v>
      </c>
      <c r="D30" s="133" t="str">
        <f t="shared" si="0"/>
        <v>SouthFireIndustrial</v>
      </c>
      <c r="E30" s="138">
        <v>625</v>
      </c>
    </row>
    <row r="31" spans="1:5" x14ac:dyDescent="0.2">
      <c r="A31" s="20" t="s">
        <v>17</v>
      </c>
      <c r="B31" s="20" t="s">
        <v>12</v>
      </c>
      <c r="C31" t="s">
        <v>27</v>
      </c>
      <c r="D31" s="133" t="str">
        <f t="shared" si="0"/>
        <v>SouthFireCommercial</v>
      </c>
      <c r="E31" s="138">
        <v>1147</v>
      </c>
    </row>
    <row r="32" spans="1:5" x14ac:dyDescent="0.2">
      <c r="A32" s="20" t="s">
        <v>17</v>
      </c>
      <c r="B32" s="20" t="s">
        <v>12</v>
      </c>
      <c r="C32" t="s">
        <v>28</v>
      </c>
      <c r="D32" s="133" t="str">
        <f t="shared" si="0"/>
        <v>SouthFireInstitutional</v>
      </c>
      <c r="E32" s="138">
        <v>1638</v>
      </c>
    </row>
    <row r="33" spans="1:5" x14ac:dyDescent="0.2">
      <c r="A33" s="20" t="s">
        <v>17</v>
      </c>
      <c r="B33" s="20" t="s">
        <v>12</v>
      </c>
      <c r="C33" t="s">
        <v>29</v>
      </c>
      <c r="D33" s="133" t="str">
        <f t="shared" si="0"/>
        <v>SouthFireOffice and Other</v>
      </c>
      <c r="E33" s="138">
        <v>1758</v>
      </c>
    </row>
    <row r="34" spans="1:5" x14ac:dyDescent="0.2">
      <c r="A34" s="20" t="s">
        <v>16</v>
      </c>
      <c r="B34" s="20" t="s">
        <v>35</v>
      </c>
      <c r="C34" s="23" t="s">
        <v>37</v>
      </c>
      <c r="D34" s="133" t="str">
        <f t="shared" si="0"/>
        <v>NorthMeter0.75 Displacement</v>
      </c>
      <c r="E34" s="138">
        <v>503</v>
      </c>
    </row>
    <row r="35" spans="1:5" x14ac:dyDescent="0.2">
      <c r="A35" s="20" t="s">
        <v>16</v>
      </c>
      <c r="B35" s="20" t="s">
        <v>35</v>
      </c>
      <c r="C35" s="20" t="s">
        <v>38</v>
      </c>
      <c r="D35" s="133" t="str">
        <f t="shared" si="0"/>
        <v>NorthMeter1 Displacement</v>
      </c>
      <c r="E35" s="138">
        <v>550</v>
      </c>
    </row>
    <row r="36" spans="1:5" x14ac:dyDescent="0.2">
      <c r="A36" s="20" t="s">
        <v>16</v>
      </c>
      <c r="B36" s="20" t="s">
        <v>35</v>
      </c>
      <c r="C36" s="20" t="s">
        <v>36</v>
      </c>
      <c r="D36" s="133" t="str">
        <f t="shared" si="0"/>
        <v>NorthMeter1.5 Displacement</v>
      </c>
      <c r="E36" s="138">
        <v>831</v>
      </c>
    </row>
    <row r="37" spans="1:5" x14ac:dyDescent="0.2">
      <c r="A37" s="20" t="s">
        <v>16</v>
      </c>
      <c r="B37" s="20" t="s">
        <v>35</v>
      </c>
      <c r="C37" s="20" t="s">
        <v>146</v>
      </c>
      <c r="D37" s="133" t="str">
        <f t="shared" si="0"/>
        <v>NorthMeter1.5 Turbine l/s</v>
      </c>
      <c r="E37" s="138">
        <v>1053</v>
      </c>
    </row>
    <row r="38" spans="1:5" x14ac:dyDescent="0.2">
      <c r="A38" s="20" t="s">
        <v>16</v>
      </c>
      <c r="B38" s="20" t="s">
        <v>35</v>
      </c>
      <c r="C38" s="20" t="s">
        <v>141</v>
      </c>
      <c r="D38" s="133" t="str">
        <f t="shared" si="0"/>
        <v>NorthMeter2 Displacement</v>
      </c>
      <c r="E38" s="138">
        <v>1065</v>
      </c>
    </row>
    <row r="39" spans="1:5" x14ac:dyDescent="0.2">
      <c r="A39" s="20" t="s">
        <v>16</v>
      </c>
      <c r="B39" s="20" t="s">
        <v>35</v>
      </c>
      <c r="C39" s="20" t="s">
        <v>142</v>
      </c>
      <c r="D39" s="133" t="str">
        <f t="shared" si="0"/>
        <v>NorthMeter2 Turbine l/s</v>
      </c>
      <c r="E39" s="138">
        <v>1222</v>
      </c>
    </row>
    <row r="40" spans="1:5" x14ac:dyDescent="0.2">
      <c r="A40" s="20" t="s">
        <v>16</v>
      </c>
      <c r="B40" s="20" t="s">
        <v>35</v>
      </c>
      <c r="C40" s="20" t="s">
        <v>39</v>
      </c>
      <c r="D40" s="133" t="str">
        <f t="shared" si="0"/>
        <v>NorthMeter3 Compound</v>
      </c>
      <c r="E40" s="138">
        <v>1391</v>
      </c>
    </row>
    <row r="41" spans="1:5" x14ac:dyDescent="0.2">
      <c r="A41" s="20" t="s">
        <v>16</v>
      </c>
      <c r="B41" s="20" t="s">
        <v>35</v>
      </c>
      <c r="C41" s="20" t="s">
        <v>143</v>
      </c>
      <c r="D41" s="133" t="str">
        <f t="shared" si="0"/>
        <v>NorthMeter3 Turbine l/s</v>
      </c>
      <c r="E41" s="138">
        <v>1391</v>
      </c>
    </row>
    <row r="42" spans="1:5" x14ac:dyDescent="0.2">
      <c r="A42" s="20" t="s">
        <v>16</v>
      </c>
      <c r="B42" s="20" t="s">
        <v>35</v>
      </c>
      <c r="C42" s="20" t="s">
        <v>144</v>
      </c>
      <c r="D42" s="133" t="str">
        <f t="shared" si="0"/>
        <v>NorthMeter4 Turbine l/s</v>
      </c>
      <c r="E42" s="138">
        <v>4117</v>
      </c>
    </row>
    <row r="43" spans="1:5" x14ac:dyDescent="0.2">
      <c r="A43" s="20" t="s">
        <v>16</v>
      </c>
      <c r="B43" s="20" t="s">
        <v>35</v>
      </c>
      <c r="C43" s="20" t="s">
        <v>40</v>
      </c>
      <c r="D43" s="133" t="str">
        <f t="shared" si="0"/>
        <v>NorthMeter4 Compound</v>
      </c>
      <c r="E43" s="138">
        <v>4117</v>
      </c>
    </row>
    <row r="44" spans="1:5" x14ac:dyDescent="0.2">
      <c r="A44" s="20" t="s">
        <v>16</v>
      </c>
      <c r="B44" s="20" t="s">
        <v>35</v>
      </c>
      <c r="C44" s="20" t="s">
        <v>158</v>
      </c>
      <c r="D44" s="133" t="str">
        <f t="shared" si="0"/>
        <v>NorthMeter6 Turbine l/s</v>
      </c>
      <c r="E44" s="138">
        <f>SUM('Fee Quote'!D30*'Impact Fee'!$H$38)</f>
        <v>0</v>
      </c>
    </row>
    <row r="45" spans="1:5" x14ac:dyDescent="0.2">
      <c r="A45" s="20" t="s">
        <v>16</v>
      </c>
      <c r="B45" s="20" t="s">
        <v>35</v>
      </c>
      <c r="C45" s="20" t="s">
        <v>159</v>
      </c>
      <c r="D45" s="133" t="str">
        <f t="shared" si="0"/>
        <v>NorthMeter8 Turbine l/s</v>
      </c>
      <c r="E45" s="138">
        <f>SUM('Fee Quote'!D30*'Impact Fee'!$H$38)</f>
        <v>0</v>
      </c>
    </row>
    <row r="46" spans="1:5" x14ac:dyDescent="0.2">
      <c r="A46" s="20" t="s">
        <v>17</v>
      </c>
      <c r="B46" s="20" t="s">
        <v>35</v>
      </c>
      <c r="C46" s="23" t="s">
        <v>37</v>
      </c>
      <c r="D46" s="133" t="str">
        <f t="shared" si="0"/>
        <v>SouthMeter0.75 Displacement</v>
      </c>
      <c r="E46" s="138">
        <v>503</v>
      </c>
    </row>
    <row r="47" spans="1:5" x14ac:dyDescent="0.2">
      <c r="A47" s="20" t="s">
        <v>17</v>
      </c>
      <c r="B47" s="20" t="s">
        <v>35</v>
      </c>
      <c r="C47" s="20" t="s">
        <v>38</v>
      </c>
      <c r="D47" s="133" t="str">
        <f t="shared" si="0"/>
        <v>SouthMeter1 Displacement</v>
      </c>
      <c r="E47" s="138">
        <v>550</v>
      </c>
    </row>
    <row r="48" spans="1:5" x14ac:dyDescent="0.2">
      <c r="A48" s="20" t="s">
        <v>17</v>
      </c>
      <c r="B48" s="20" t="s">
        <v>35</v>
      </c>
      <c r="C48" s="20" t="s">
        <v>146</v>
      </c>
      <c r="D48" s="133" t="str">
        <f t="shared" si="0"/>
        <v>SouthMeter1.5 Turbine l/s</v>
      </c>
      <c r="E48" s="138">
        <v>1053</v>
      </c>
    </row>
    <row r="49" spans="1:7" x14ac:dyDescent="0.2">
      <c r="A49" s="20" t="s">
        <v>17</v>
      </c>
      <c r="B49" s="20" t="s">
        <v>35</v>
      </c>
      <c r="C49" s="20" t="s">
        <v>36</v>
      </c>
      <c r="D49" s="133" t="str">
        <f t="shared" si="0"/>
        <v>SouthMeter1.5 Displacement</v>
      </c>
      <c r="E49" s="138">
        <v>831</v>
      </c>
    </row>
    <row r="50" spans="1:7" x14ac:dyDescent="0.2">
      <c r="A50" s="20" t="s">
        <v>17</v>
      </c>
      <c r="B50" s="20" t="s">
        <v>35</v>
      </c>
      <c r="C50" s="20" t="s">
        <v>141</v>
      </c>
      <c r="D50" s="133" t="str">
        <f t="shared" si="0"/>
        <v>SouthMeter2 Displacement</v>
      </c>
      <c r="E50" s="138">
        <v>1065</v>
      </c>
    </row>
    <row r="51" spans="1:7" x14ac:dyDescent="0.2">
      <c r="A51" s="20" t="s">
        <v>17</v>
      </c>
      <c r="B51" s="20" t="s">
        <v>35</v>
      </c>
      <c r="C51" s="20" t="s">
        <v>142</v>
      </c>
      <c r="D51" s="133" t="str">
        <f t="shared" si="0"/>
        <v>SouthMeter2 Turbine l/s</v>
      </c>
      <c r="E51" s="138">
        <v>1222</v>
      </c>
    </row>
    <row r="52" spans="1:7" x14ac:dyDescent="0.2">
      <c r="A52" s="20" t="s">
        <v>17</v>
      </c>
      <c r="B52" s="20" t="s">
        <v>35</v>
      </c>
      <c r="C52" s="20" t="s">
        <v>143</v>
      </c>
      <c r="D52" s="133" t="str">
        <f t="shared" si="0"/>
        <v>SouthMeter3 Turbine l/s</v>
      </c>
      <c r="E52" s="138">
        <v>1875</v>
      </c>
    </row>
    <row r="53" spans="1:7" x14ac:dyDescent="0.2">
      <c r="A53" s="20" t="s">
        <v>17</v>
      </c>
      <c r="B53" s="20" t="s">
        <v>35</v>
      </c>
      <c r="C53" s="20" t="s">
        <v>39</v>
      </c>
      <c r="D53" s="133" t="str">
        <f t="shared" si="0"/>
        <v>SouthMeter3 Compound</v>
      </c>
      <c r="E53" s="138">
        <v>1391</v>
      </c>
    </row>
    <row r="54" spans="1:7" x14ac:dyDescent="0.2">
      <c r="A54" s="20" t="s">
        <v>17</v>
      </c>
      <c r="B54" s="20" t="s">
        <v>35</v>
      </c>
      <c r="C54" s="20" t="s">
        <v>40</v>
      </c>
      <c r="D54" s="133" t="str">
        <f t="shared" si="0"/>
        <v>SouthMeter4 Compound</v>
      </c>
      <c r="E54" s="138">
        <v>4117</v>
      </c>
    </row>
    <row r="55" spans="1:7" x14ac:dyDescent="0.2">
      <c r="A55" s="20" t="s">
        <v>17</v>
      </c>
      <c r="B55" s="20" t="s">
        <v>35</v>
      </c>
      <c r="C55" s="20" t="s">
        <v>144</v>
      </c>
      <c r="D55" s="133" t="str">
        <f t="shared" si="0"/>
        <v>SouthMeter4 Turbine l/s</v>
      </c>
      <c r="E55" s="138">
        <v>4117</v>
      </c>
    </row>
    <row r="56" spans="1:7" x14ac:dyDescent="0.2">
      <c r="A56" s="20" t="s">
        <v>17</v>
      </c>
      <c r="B56" s="20" t="s">
        <v>35</v>
      </c>
      <c r="C56" s="20" t="s">
        <v>135</v>
      </c>
      <c r="D56" s="133" t="str">
        <f t="shared" si="0"/>
        <v>SouthMeter6 Compound</v>
      </c>
      <c r="E56" s="138"/>
    </row>
    <row r="57" spans="1:7" x14ac:dyDescent="0.2">
      <c r="A57" s="20" t="s">
        <v>17</v>
      </c>
      <c r="B57" s="20" t="s">
        <v>35</v>
      </c>
      <c r="C57" s="20" t="s">
        <v>158</v>
      </c>
      <c r="D57" s="133" t="str">
        <f t="shared" si="0"/>
        <v>SouthMeter6 Turbine l/s</v>
      </c>
      <c r="E57" s="138"/>
    </row>
    <row r="58" spans="1:7" x14ac:dyDescent="0.2">
      <c r="A58" s="20" t="s">
        <v>17</v>
      </c>
      <c r="B58" s="20" t="s">
        <v>35</v>
      </c>
      <c r="C58" s="20" t="s">
        <v>159</v>
      </c>
      <c r="D58" s="133" t="str">
        <f t="shared" si="0"/>
        <v>SouthMeter8 Turbine l/s</v>
      </c>
      <c r="E58" s="138"/>
    </row>
    <row r="59" spans="1:7" x14ac:dyDescent="0.2">
      <c r="A59" s="20" t="s">
        <v>17</v>
      </c>
      <c r="B59" s="20" t="s">
        <v>35</v>
      </c>
      <c r="C59" s="20" t="s">
        <v>136</v>
      </c>
      <c r="D59" s="133" t="str">
        <f t="shared" si="0"/>
        <v>SouthMeter8 Compound</v>
      </c>
      <c r="E59" s="138"/>
    </row>
    <row r="60" spans="1:7" x14ac:dyDescent="0.2">
      <c r="A60" s="20" t="s">
        <v>16</v>
      </c>
      <c r="B60" s="20" t="s">
        <v>19</v>
      </c>
      <c r="C60" s="23" t="s">
        <v>37</v>
      </c>
      <c r="D60" s="133" t="str">
        <f t="shared" si="0"/>
        <v>NorthWater0.75 Displacement</v>
      </c>
      <c r="E60" s="138">
        <v>8317</v>
      </c>
    </row>
    <row r="61" spans="1:7" x14ac:dyDescent="0.2">
      <c r="A61" s="20" t="s">
        <v>16</v>
      </c>
      <c r="B61" s="20" t="s">
        <v>19</v>
      </c>
      <c r="C61" s="20" t="s">
        <v>38</v>
      </c>
      <c r="D61" s="133" t="str">
        <f t="shared" si="0"/>
        <v>NorthWater1 Displacement</v>
      </c>
      <c r="E61" s="138">
        <v>13890</v>
      </c>
    </row>
    <row r="62" spans="1:7" x14ac:dyDescent="0.2">
      <c r="A62" s="20" t="s">
        <v>16</v>
      </c>
      <c r="B62" s="20" t="s">
        <v>19</v>
      </c>
      <c r="C62" s="20" t="s">
        <v>36</v>
      </c>
      <c r="D62" s="133" t="str">
        <f t="shared" si="0"/>
        <v>NorthWater1.5 Displacement</v>
      </c>
      <c r="E62" s="138">
        <v>27696</v>
      </c>
    </row>
    <row r="63" spans="1:7" x14ac:dyDescent="0.2">
      <c r="A63" s="20" t="s">
        <v>16</v>
      </c>
      <c r="B63" s="20" t="s">
        <v>19</v>
      </c>
      <c r="C63" s="20" t="s">
        <v>146</v>
      </c>
      <c r="D63" s="133" t="str">
        <f t="shared" si="0"/>
        <v>NorthWater1.5 Turbine l/s</v>
      </c>
      <c r="E63" s="138">
        <v>27696</v>
      </c>
      <c r="F63" s="20" t="s">
        <v>172</v>
      </c>
      <c r="G63" s="141">
        <v>21.21</v>
      </c>
    </row>
    <row r="64" spans="1:7" x14ac:dyDescent="0.2">
      <c r="A64" s="136" t="s">
        <v>16</v>
      </c>
      <c r="B64" s="136" t="s">
        <v>19</v>
      </c>
      <c r="C64" s="136" t="s">
        <v>167</v>
      </c>
      <c r="D64" s="136" t="s">
        <v>168</v>
      </c>
      <c r="E64" s="137">
        <f>SUM('Fee Quote'!$D$38*'Impact Fee'!$G$63)</f>
        <v>0</v>
      </c>
    </row>
    <row r="65" spans="1:7" x14ac:dyDescent="0.2">
      <c r="A65" s="20" t="s">
        <v>17</v>
      </c>
      <c r="B65" s="20" t="s">
        <v>19</v>
      </c>
      <c r="C65" s="23" t="s">
        <v>37</v>
      </c>
      <c r="D65" s="133" t="str">
        <f t="shared" ref="D65:D77" si="1">A65&amp;B65&amp;C65</f>
        <v>SouthWater0.75 Displacement</v>
      </c>
      <c r="E65" s="138">
        <v>8836</v>
      </c>
    </row>
    <row r="66" spans="1:7" x14ac:dyDescent="0.2">
      <c r="A66" s="20" t="s">
        <v>17</v>
      </c>
      <c r="B66" s="20" t="s">
        <v>19</v>
      </c>
      <c r="C66" s="20" t="s">
        <v>38</v>
      </c>
      <c r="D66" s="133" t="str">
        <f t="shared" si="1"/>
        <v>SouthWater1 Displacement</v>
      </c>
      <c r="E66" s="138">
        <v>14756</v>
      </c>
    </row>
    <row r="67" spans="1:7" x14ac:dyDescent="0.2">
      <c r="A67" s="20" t="s">
        <v>17</v>
      </c>
      <c r="B67" s="20" t="s">
        <v>19</v>
      </c>
      <c r="C67" s="20" t="s">
        <v>36</v>
      </c>
      <c r="D67" s="133" t="str">
        <f t="shared" si="1"/>
        <v>SouthWater1.5 Displacement</v>
      </c>
      <c r="E67" s="138">
        <v>29424</v>
      </c>
    </row>
    <row r="68" spans="1:7" x14ac:dyDescent="0.2">
      <c r="A68" s="20" t="s">
        <v>17</v>
      </c>
      <c r="B68" s="20" t="s">
        <v>19</v>
      </c>
      <c r="C68" s="20" t="s">
        <v>146</v>
      </c>
      <c r="D68" s="133" t="str">
        <f t="shared" si="1"/>
        <v>SouthWater1.5 Turbine l/s</v>
      </c>
      <c r="E68" s="138">
        <v>29424</v>
      </c>
      <c r="F68" s="20" t="s">
        <v>173</v>
      </c>
      <c r="G68" s="141">
        <v>21.98</v>
      </c>
    </row>
    <row r="69" spans="1:7" x14ac:dyDescent="0.2">
      <c r="A69" s="136" t="s">
        <v>17</v>
      </c>
      <c r="B69" s="136" t="s">
        <v>19</v>
      </c>
      <c r="C69" s="136" t="s">
        <v>167</v>
      </c>
      <c r="D69" s="136" t="s">
        <v>169</v>
      </c>
      <c r="E69" s="137">
        <f>SUM('Fee Quote'!$D$43*'Impact Fee'!$G$68)</f>
        <v>0</v>
      </c>
    </row>
    <row r="70" spans="1:7" ht="15" x14ac:dyDescent="0.2">
      <c r="A70" s="20" t="s">
        <v>16</v>
      </c>
      <c r="B70" s="20" t="s">
        <v>20</v>
      </c>
      <c r="C70" s="23" t="s">
        <v>37</v>
      </c>
      <c r="D70" s="133" t="str">
        <f t="shared" si="1"/>
        <v>NorthWastewater0.75 Displacement</v>
      </c>
      <c r="E70" s="139">
        <v>3886</v>
      </c>
    </row>
    <row r="71" spans="1:7" ht="15" x14ac:dyDescent="0.2">
      <c r="A71" s="20" t="s">
        <v>16</v>
      </c>
      <c r="B71" s="20" t="s">
        <v>20</v>
      </c>
      <c r="C71" s="20" t="s">
        <v>38</v>
      </c>
      <c r="D71" s="133" t="str">
        <f t="shared" si="1"/>
        <v>NorthWastewater1 Displacement</v>
      </c>
      <c r="E71" s="139">
        <v>6490</v>
      </c>
    </row>
    <row r="72" spans="1:7" ht="15" x14ac:dyDescent="0.2">
      <c r="A72" s="20" t="s">
        <v>16</v>
      </c>
      <c r="B72" s="20" t="s">
        <v>20</v>
      </c>
      <c r="C72" s="20" t="s">
        <v>36</v>
      </c>
      <c r="D72" s="133" t="str">
        <f t="shared" si="1"/>
        <v>NorthWastewater1.5 Displacement</v>
      </c>
      <c r="E72" s="139">
        <v>12942</v>
      </c>
      <c r="F72" s="20" t="s">
        <v>174</v>
      </c>
      <c r="G72" s="141">
        <v>27.76</v>
      </c>
    </row>
    <row r="73" spans="1:7" ht="15" x14ac:dyDescent="0.2">
      <c r="A73" s="136" t="s">
        <v>16</v>
      </c>
      <c r="B73" s="136" t="s">
        <v>20</v>
      </c>
      <c r="C73" s="136" t="s">
        <v>167</v>
      </c>
      <c r="D73" s="136" t="s">
        <v>170</v>
      </c>
      <c r="E73" s="140">
        <f>SUM('Fee Quote'!$D$37*'Impact Fee'!$G$72)</f>
        <v>0</v>
      </c>
    </row>
    <row r="74" spans="1:7" ht="15" x14ac:dyDescent="0.2">
      <c r="A74" s="20" t="s">
        <v>17</v>
      </c>
      <c r="B74" s="20" t="s">
        <v>20</v>
      </c>
      <c r="C74" s="23" t="s">
        <v>37</v>
      </c>
      <c r="D74" s="133" t="str">
        <f t="shared" si="1"/>
        <v>SouthWastewater0.75 Displacement</v>
      </c>
      <c r="E74" s="139">
        <v>5918</v>
      </c>
    </row>
    <row r="75" spans="1:7" ht="15" x14ac:dyDescent="0.2">
      <c r="A75" s="20" t="s">
        <v>17</v>
      </c>
      <c r="B75" s="20" t="s">
        <v>20</v>
      </c>
      <c r="C75" s="20" t="s">
        <v>38</v>
      </c>
      <c r="D75" s="133" t="str">
        <f t="shared" si="1"/>
        <v>SouthWastewater1 Displacement</v>
      </c>
      <c r="E75" s="139">
        <v>9883</v>
      </c>
    </row>
    <row r="76" spans="1:7" ht="15" x14ac:dyDescent="0.2">
      <c r="A76" s="20" t="s">
        <v>17</v>
      </c>
      <c r="B76" s="20" t="s">
        <v>20</v>
      </c>
      <c r="C76" s="20" t="s">
        <v>36</v>
      </c>
      <c r="D76" s="133" t="str">
        <f t="shared" si="1"/>
        <v>SouthWastewater1.5 Displacement</v>
      </c>
      <c r="E76" s="139">
        <v>19706</v>
      </c>
    </row>
    <row r="77" spans="1:7" ht="15" x14ac:dyDescent="0.2">
      <c r="A77" s="20" t="s">
        <v>17</v>
      </c>
      <c r="B77" s="20" t="s">
        <v>20</v>
      </c>
      <c r="C77" s="20" t="s">
        <v>146</v>
      </c>
      <c r="D77" s="133" t="str">
        <f t="shared" si="1"/>
        <v>SouthWastewater1.5 Turbine l/s</v>
      </c>
      <c r="E77" s="139">
        <v>0</v>
      </c>
      <c r="F77" s="20" t="s">
        <v>175</v>
      </c>
      <c r="G77" s="141">
        <v>42.27</v>
      </c>
    </row>
    <row r="78" spans="1:7" ht="15" x14ac:dyDescent="0.2">
      <c r="A78" s="136" t="s">
        <v>17</v>
      </c>
      <c r="B78" s="136" t="s">
        <v>20</v>
      </c>
      <c r="C78" s="136" t="s">
        <v>167</v>
      </c>
      <c r="D78" s="136" t="s">
        <v>171</v>
      </c>
      <c r="E78" s="140">
        <f>SUM('Fee Quote'!$D$42*'Impact Fee'!$G$77)</f>
        <v>0</v>
      </c>
    </row>
    <row r="79" spans="1:7" x14ac:dyDescent="0.2">
      <c r="A79" s="20"/>
      <c r="B79" s="20"/>
      <c r="C79" s="20"/>
    </row>
    <row r="80" spans="1:7" x14ac:dyDescent="0.2">
      <c r="A80" s="20"/>
      <c r="B80" s="20"/>
      <c r="C80" s="20"/>
    </row>
    <row r="81" spans="1:3" x14ac:dyDescent="0.2">
      <c r="A81" s="20"/>
      <c r="B81" s="20"/>
      <c r="C81" s="20"/>
    </row>
    <row r="82" spans="1:3" x14ac:dyDescent="0.2">
      <c r="A82" s="20"/>
      <c r="B82" s="20"/>
      <c r="C82" s="20"/>
    </row>
    <row r="83" spans="1:3" x14ac:dyDescent="0.2">
      <c r="A83" s="20"/>
      <c r="B83" s="20"/>
      <c r="C83" s="20"/>
    </row>
    <row r="84" spans="1:3" x14ac:dyDescent="0.2">
      <c r="A84" s="20"/>
      <c r="B84" s="20"/>
      <c r="C84" s="20"/>
    </row>
    <row r="85" spans="1:3" x14ac:dyDescent="0.2">
      <c r="A85" s="20"/>
      <c r="B85" s="20"/>
      <c r="C85" s="20"/>
    </row>
  </sheetData>
  <autoFilter ref="A1:E78" xr:uid="{18FEFF98-E0DF-4986-A26D-06DEFF591634}"/>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28"/>
  <sheetViews>
    <sheetView zoomScale="85" zoomScaleNormal="85" workbookViewId="0">
      <selection activeCell="Q14" sqref="Q14"/>
    </sheetView>
  </sheetViews>
  <sheetFormatPr defaultRowHeight="12.75" x14ac:dyDescent="0.2"/>
  <cols>
    <col min="1" max="1" width="49.42578125" bestFit="1" customWidth="1"/>
    <col min="2" max="2" width="7.28515625" customWidth="1"/>
  </cols>
  <sheetData>
    <row r="1" spans="1:12" x14ac:dyDescent="0.2">
      <c r="A1" s="148" t="s">
        <v>180</v>
      </c>
      <c r="B1" s="148" t="s">
        <v>81</v>
      </c>
      <c r="C1" s="147" t="s">
        <v>41</v>
      </c>
      <c r="D1" s="147" t="s">
        <v>42</v>
      </c>
      <c r="E1" s="147" t="s">
        <v>43</v>
      </c>
      <c r="F1" s="147" t="s">
        <v>44</v>
      </c>
      <c r="G1" s="147" t="s">
        <v>45</v>
      </c>
      <c r="H1" s="147" t="s">
        <v>46</v>
      </c>
      <c r="I1" s="147" t="s">
        <v>47</v>
      </c>
      <c r="J1" s="147" t="s">
        <v>48</v>
      </c>
      <c r="K1" s="147" t="s">
        <v>49</v>
      </c>
      <c r="L1" s="24">
        <v>45327</v>
      </c>
    </row>
    <row r="2" spans="1:12" x14ac:dyDescent="0.2">
      <c r="A2" s="149" t="s">
        <v>50</v>
      </c>
      <c r="B2" s="149" t="s">
        <v>50</v>
      </c>
      <c r="C2" s="147">
        <v>330.56</v>
      </c>
      <c r="D2" s="147">
        <v>318.8</v>
      </c>
      <c r="E2" s="147">
        <v>309.392</v>
      </c>
      <c r="F2" s="147">
        <v>297.2</v>
      </c>
      <c r="G2" s="147">
        <v>277.71200000000005</v>
      </c>
      <c r="H2" s="147">
        <v>269.66719999999998</v>
      </c>
      <c r="I2" s="147">
        <v>287.04319999999996</v>
      </c>
      <c r="J2" s="147">
        <v>258.79039999999998</v>
      </c>
      <c r="K2" s="147">
        <v>248.89279999999999</v>
      </c>
    </row>
    <row r="3" spans="1:12" x14ac:dyDescent="0.2">
      <c r="A3" s="149" t="s">
        <v>51</v>
      </c>
      <c r="B3" s="149" t="s">
        <v>51</v>
      </c>
      <c r="C3" s="147">
        <v>303.488</v>
      </c>
      <c r="D3" s="147">
        <v>291.72800000000001</v>
      </c>
      <c r="E3" s="147">
        <v>282.32</v>
      </c>
      <c r="F3" s="147">
        <v>270.12799999999999</v>
      </c>
      <c r="G3" s="147">
        <v>250.88</v>
      </c>
      <c r="H3" s="147">
        <v>242.83519999999999</v>
      </c>
      <c r="I3" s="147">
        <v>259.97120000000001</v>
      </c>
      <c r="J3" s="147">
        <v>231.95840000000001</v>
      </c>
      <c r="K3" s="147">
        <v>222.0608</v>
      </c>
    </row>
    <row r="4" spans="1:12" x14ac:dyDescent="0.2">
      <c r="A4" s="149" t="s">
        <v>52</v>
      </c>
      <c r="B4" s="149" t="s">
        <v>52</v>
      </c>
      <c r="C4" s="147">
        <v>272.51150000000001</v>
      </c>
      <c r="D4" s="147">
        <v>264.42650000000003</v>
      </c>
      <c r="E4" s="147">
        <v>256.9085</v>
      </c>
      <c r="F4" s="147">
        <v>248.19350000000003</v>
      </c>
      <c r="G4" s="147">
        <v>232.7585</v>
      </c>
      <c r="H4" s="147">
        <v>226.1225</v>
      </c>
      <c r="I4" s="147">
        <v>239.279</v>
      </c>
      <c r="J4" s="147">
        <v>211.56950000000001</v>
      </c>
      <c r="K4" s="147">
        <v>204.7235</v>
      </c>
    </row>
    <row r="5" spans="1:12" x14ac:dyDescent="0.2">
      <c r="A5" s="149" t="s">
        <v>53</v>
      </c>
      <c r="B5" s="149" t="s">
        <v>53</v>
      </c>
      <c r="C5" s="147">
        <v>271.51150000000001</v>
      </c>
      <c r="D5" s="147">
        <v>263.42650000000003</v>
      </c>
      <c r="E5" s="147">
        <v>254.9085</v>
      </c>
      <c r="F5" s="147">
        <v>247.19350000000003</v>
      </c>
      <c r="G5" s="147">
        <v>230.7585</v>
      </c>
      <c r="H5" s="147">
        <v>225.1225</v>
      </c>
      <c r="I5" s="147">
        <v>238.279</v>
      </c>
      <c r="J5" s="147">
        <v>209.56950000000001</v>
      </c>
      <c r="K5" s="147">
        <v>203.7235</v>
      </c>
    </row>
    <row r="6" spans="1:12" x14ac:dyDescent="0.2">
      <c r="A6" s="149" t="s">
        <v>54</v>
      </c>
      <c r="B6" s="149" t="s">
        <v>54</v>
      </c>
      <c r="C6" s="147">
        <v>308.00799999999998</v>
      </c>
      <c r="D6" s="147">
        <v>296.24799999999999</v>
      </c>
      <c r="E6" s="147">
        <v>286.83999999999997</v>
      </c>
      <c r="F6" s="147">
        <v>274.64799999999997</v>
      </c>
      <c r="G6" s="147">
        <v>255.5248</v>
      </c>
      <c r="H6" s="147">
        <v>247.48</v>
      </c>
      <c r="I6" s="147">
        <v>264.49119999999999</v>
      </c>
      <c r="J6" s="147">
        <v>236.60319999999999</v>
      </c>
      <c r="K6" s="147">
        <v>226.70559999999998</v>
      </c>
    </row>
    <row r="7" spans="1:12" x14ac:dyDescent="0.2">
      <c r="A7" s="149" t="s">
        <v>55</v>
      </c>
      <c r="B7" s="149" t="s">
        <v>55</v>
      </c>
      <c r="C7" s="147">
        <v>258.66400000000004</v>
      </c>
      <c r="D7" s="147">
        <v>246.90399999999997</v>
      </c>
      <c r="E7" s="147">
        <v>236.49599999999998</v>
      </c>
      <c r="F7" s="147">
        <v>225.304</v>
      </c>
      <c r="G7" s="147">
        <v>205.05599999999998</v>
      </c>
      <c r="H7" s="147">
        <v>198.0112</v>
      </c>
      <c r="I7" s="147">
        <v>215.1472</v>
      </c>
      <c r="J7" s="147">
        <v>186.1344</v>
      </c>
      <c r="K7" s="147">
        <v>177.23679999999999</v>
      </c>
    </row>
    <row r="8" spans="1:12" x14ac:dyDescent="0.2">
      <c r="A8" s="149" t="s">
        <v>56</v>
      </c>
      <c r="B8" s="149" t="s">
        <v>56</v>
      </c>
      <c r="C8" s="147">
        <v>302.488</v>
      </c>
      <c r="D8" s="147">
        <v>290.72800000000001</v>
      </c>
      <c r="E8" s="147">
        <v>280.32</v>
      </c>
      <c r="F8" s="147">
        <v>269.12799999999999</v>
      </c>
      <c r="G8" s="147">
        <v>248.88</v>
      </c>
      <c r="H8" s="147">
        <v>241.83519999999999</v>
      </c>
      <c r="I8" s="147">
        <v>258.97120000000001</v>
      </c>
      <c r="J8" s="147">
        <v>229.95840000000001</v>
      </c>
      <c r="K8" s="147">
        <v>221.0608</v>
      </c>
    </row>
    <row r="9" spans="1:12" x14ac:dyDescent="0.2">
      <c r="A9" s="149" t="s">
        <v>57</v>
      </c>
      <c r="B9" s="149" t="s">
        <v>57</v>
      </c>
      <c r="C9" s="147">
        <v>289.50709999999992</v>
      </c>
      <c r="D9" s="147">
        <v>279.2251</v>
      </c>
      <c r="E9" s="147">
        <v>269.20499999999998</v>
      </c>
      <c r="F9" s="147">
        <v>257.81719999999996</v>
      </c>
      <c r="G9" s="147">
        <v>235.41899999999998</v>
      </c>
      <c r="H9" s="147">
        <v>227.06819999999999</v>
      </c>
      <c r="I9" s="147">
        <v>247.91349999999997</v>
      </c>
      <c r="J9" s="147">
        <v>210.393</v>
      </c>
      <c r="K9" s="147">
        <v>200.78119999999998</v>
      </c>
    </row>
    <row r="10" spans="1:12" x14ac:dyDescent="0.2">
      <c r="A10" s="149" t="s">
        <v>58</v>
      </c>
      <c r="B10" s="149" t="s">
        <v>58</v>
      </c>
      <c r="C10" s="147">
        <v>276.32799999999997</v>
      </c>
      <c r="D10" s="147">
        <v>266.72800000000001</v>
      </c>
      <c r="E10" s="147">
        <v>258.29919999999998</v>
      </c>
      <c r="F10" s="147">
        <v>247.60479999999998</v>
      </c>
      <c r="G10" s="147">
        <v>231.08320000000001</v>
      </c>
      <c r="H10" s="147">
        <v>219.27519999999996</v>
      </c>
      <c r="I10" s="147">
        <v>239.08959999999999</v>
      </c>
      <c r="J10" s="147">
        <v>202.45599999999999</v>
      </c>
      <c r="K10" s="147">
        <v>195.96639999999999</v>
      </c>
    </row>
    <row r="11" spans="1:12" x14ac:dyDescent="0.2">
      <c r="A11" s="149" t="s">
        <v>59</v>
      </c>
      <c r="B11" s="149" t="s">
        <v>59</v>
      </c>
      <c r="C11" s="147">
        <v>160.20139999999998</v>
      </c>
      <c r="D11" s="147">
        <v>152.78139999999996</v>
      </c>
      <c r="E11" s="147">
        <v>143.34379999999999</v>
      </c>
      <c r="F11" s="147">
        <v>138.64099999999999</v>
      </c>
      <c r="G11" s="147">
        <v>123.55360000000002</v>
      </c>
      <c r="H11" s="147">
        <v>117.40920000000001</v>
      </c>
      <c r="I11" s="147">
        <v>132.48239999999998</v>
      </c>
      <c r="J11" s="147">
        <v>102.4384</v>
      </c>
      <c r="K11" s="147">
        <v>95.933600000000013</v>
      </c>
    </row>
    <row r="12" spans="1:12" x14ac:dyDescent="0.2">
      <c r="A12" s="149" t="s">
        <v>60</v>
      </c>
      <c r="B12" s="149" t="s">
        <v>60</v>
      </c>
      <c r="C12" s="147">
        <v>159.20139999999998</v>
      </c>
      <c r="D12" s="147">
        <v>151.78139999999996</v>
      </c>
      <c r="E12" s="147">
        <v>143.34379999999999</v>
      </c>
      <c r="F12" s="147">
        <v>137.64099999999999</v>
      </c>
      <c r="G12" s="147">
        <v>123.55360000000002</v>
      </c>
      <c r="H12" s="147">
        <v>116.40920000000001</v>
      </c>
      <c r="I12" s="147">
        <v>131.48239999999998</v>
      </c>
      <c r="J12" s="147">
        <v>102.4384</v>
      </c>
      <c r="K12" s="147">
        <v>94.933600000000013</v>
      </c>
    </row>
    <row r="13" spans="1:12" x14ac:dyDescent="0.2">
      <c r="A13" s="149" t="s">
        <v>61</v>
      </c>
      <c r="B13" s="149" t="s">
        <v>61</v>
      </c>
      <c r="C13" s="147">
        <v>149.45659999999998</v>
      </c>
      <c r="D13" s="147">
        <v>142.03659999999999</v>
      </c>
      <c r="E13" s="147">
        <v>133.59900000000002</v>
      </c>
      <c r="F13" s="147">
        <v>127.89620000000004</v>
      </c>
      <c r="G13" s="147">
        <v>114.11620000000001</v>
      </c>
      <c r="H13" s="147">
        <v>106.97180000000002</v>
      </c>
      <c r="I13" s="147">
        <v>121.7376</v>
      </c>
      <c r="J13" s="147">
        <v>93.001000000000019</v>
      </c>
      <c r="K13" s="147">
        <v>0</v>
      </c>
    </row>
    <row r="14" spans="1:12" x14ac:dyDescent="0.2">
      <c r="A14" s="149" t="s">
        <v>62</v>
      </c>
      <c r="B14" s="149" t="s">
        <v>62</v>
      </c>
      <c r="C14" s="147">
        <v>149.45659999999998</v>
      </c>
      <c r="D14" s="147">
        <v>142.03659999999999</v>
      </c>
      <c r="E14" s="147">
        <v>133.59900000000002</v>
      </c>
      <c r="F14" s="147">
        <v>127.89620000000004</v>
      </c>
      <c r="G14" s="147">
        <v>114.11620000000001</v>
      </c>
      <c r="H14" s="147">
        <v>106.97180000000002</v>
      </c>
      <c r="I14" s="147">
        <v>121.7376</v>
      </c>
      <c r="J14" s="147">
        <v>93.001000000000019</v>
      </c>
      <c r="K14" s="147">
        <v>85.496200000000002</v>
      </c>
    </row>
    <row r="15" spans="1:12" x14ac:dyDescent="0.2">
      <c r="A15" s="149" t="s">
        <v>63</v>
      </c>
      <c r="B15" s="149" t="s">
        <v>63</v>
      </c>
      <c r="C15" s="147">
        <v>289.50709999999992</v>
      </c>
      <c r="D15" s="147">
        <v>279.2251</v>
      </c>
      <c r="E15" s="147">
        <v>269.20499999999998</v>
      </c>
      <c r="F15" s="147">
        <v>257.81719999999996</v>
      </c>
      <c r="G15" s="147">
        <v>235.41899999999998</v>
      </c>
      <c r="H15" s="147">
        <v>227.06819999999999</v>
      </c>
      <c r="I15" s="147">
        <v>247.91349999999997</v>
      </c>
      <c r="J15" s="147">
        <v>210.393</v>
      </c>
      <c r="K15" s="147">
        <v>200.78119999999998</v>
      </c>
    </row>
    <row r="16" spans="1:12" x14ac:dyDescent="0.2">
      <c r="A16" s="149" t="s">
        <v>64</v>
      </c>
      <c r="B16" s="149" t="s">
        <v>64</v>
      </c>
      <c r="C16" s="147">
        <v>262.21759999999995</v>
      </c>
      <c r="D16" s="147">
        <v>252.95359999999997</v>
      </c>
      <c r="E16" s="147">
        <v>244.31359999999998</v>
      </c>
      <c r="F16" s="147">
        <v>235.67359999999999</v>
      </c>
      <c r="G16" s="147">
        <v>215.41759999999999</v>
      </c>
      <c r="H16" s="147">
        <v>209.46559999999994</v>
      </c>
      <c r="I16" s="147">
        <v>235.71199999999996</v>
      </c>
      <c r="J16" s="147">
        <v>193.8176</v>
      </c>
      <c r="K16" s="147">
        <v>187.7312</v>
      </c>
    </row>
    <row r="17" spans="1:11" x14ac:dyDescent="0.2">
      <c r="A17" s="149" t="s">
        <v>65</v>
      </c>
      <c r="B17" s="149" t="s">
        <v>65</v>
      </c>
      <c r="C17" s="147">
        <v>455.16459999999995</v>
      </c>
      <c r="D17" s="147">
        <v>444.88259999999997</v>
      </c>
      <c r="E17" s="147">
        <v>434.86250000000001</v>
      </c>
      <c r="F17" s="147">
        <v>423.47469999999998</v>
      </c>
      <c r="G17" s="147">
        <v>399.16649999999998</v>
      </c>
      <c r="H17" s="147">
        <v>0</v>
      </c>
      <c r="I17" s="147">
        <v>413.57099999999997</v>
      </c>
      <c r="J17" s="147">
        <v>374.14050000000003</v>
      </c>
      <c r="K17" s="147">
        <v>0</v>
      </c>
    </row>
    <row r="18" spans="1:11" x14ac:dyDescent="0.2">
      <c r="A18" s="149" t="s">
        <v>66</v>
      </c>
      <c r="B18" s="149" t="s">
        <v>66</v>
      </c>
      <c r="C18" s="147">
        <v>315.96959999999996</v>
      </c>
      <c r="D18" s="147">
        <v>303.74759999999998</v>
      </c>
      <c r="E18" s="147">
        <v>293.72749999999996</v>
      </c>
      <c r="F18" s="147">
        <v>282.33969999999999</v>
      </c>
      <c r="G18" s="147">
        <v>261.42649999999998</v>
      </c>
      <c r="H18" s="147">
        <v>0</v>
      </c>
      <c r="I18" s="147">
        <v>272.43599999999998</v>
      </c>
      <c r="J18" s="147">
        <v>236.40049999999999</v>
      </c>
      <c r="K18" s="147">
        <v>0</v>
      </c>
    </row>
    <row r="19" spans="1:11" x14ac:dyDescent="0.2">
      <c r="A19" s="149" t="s">
        <v>67</v>
      </c>
      <c r="B19" s="149" t="s">
        <v>67</v>
      </c>
      <c r="C19" s="147">
        <v>338.00709999999992</v>
      </c>
      <c r="D19" s="147">
        <v>327.7251</v>
      </c>
      <c r="E19" s="147">
        <v>317.70499999999998</v>
      </c>
      <c r="F19" s="147">
        <v>306.31719999999996</v>
      </c>
      <c r="G19" s="147">
        <v>285.404</v>
      </c>
      <c r="H19" s="147">
        <v>276.0532</v>
      </c>
      <c r="I19" s="147">
        <v>296.4135</v>
      </c>
      <c r="J19" s="147">
        <v>260.37800000000004</v>
      </c>
      <c r="K19" s="147">
        <v>248.76619999999997</v>
      </c>
    </row>
    <row r="20" spans="1:11" x14ac:dyDescent="0.2">
      <c r="A20" s="149" t="s">
        <v>68</v>
      </c>
      <c r="B20" s="149" t="s">
        <v>68</v>
      </c>
      <c r="C20" s="147">
        <v>262.21759999999995</v>
      </c>
      <c r="D20" s="147">
        <v>252.95359999999997</v>
      </c>
      <c r="E20" s="147">
        <v>244.31359999999998</v>
      </c>
      <c r="F20" s="147">
        <v>235.67359999999999</v>
      </c>
      <c r="G20" s="147">
        <v>215.41759999999999</v>
      </c>
      <c r="H20" s="147">
        <v>209.46559999999994</v>
      </c>
      <c r="I20" s="147">
        <v>235.71199999999996</v>
      </c>
      <c r="J20" s="147">
        <v>193.8176</v>
      </c>
      <c r="K20" s="147">
        <v>187.7312</v>
      </c>
    </row>
    <row r="21" spans="1:11" x14ac:dyDescent="0.2">
      <c r="A21" s="149" t="s">
        <v>69</v>
      </c>
      <c r="B21" s="149" t="s">
        <v>69</v>
      </c>
      <c r="C21" s="147">
        <v>203.29300000000001</v>
      </c>
      <c r="D21" s="147">
        <v>195.208</v>
      </c>
      <c r="E21" s="147">
        <v>186.69000000000003</v>
      </c>
      <c r="F21" s="147">
        <v>178.97499999999999</v>
      </c>
      <c r="G21" s="147">
        <v>163.27499999999998</v>
      </c>
      <c r="H21" s="147">
        <v>157.63899999999998</v>
      </c>
      <c r="I21" s="147">
        <v>170.06049999999996</v>
      </c>
      <c r="J21" s="147">
        <v>142.08600000000004</v>
      </c>
      <c r="K21" s="147">
        <v>136.24</v>
      </c>
    </row>
    <row r="22" spans="1:11" x14ac:dyDescent="0.2">
      <c r="A22" s="149" t="s">
        <v>70</v>
      </c>
      <c r="B22" s="149" t="s">
        <v>70</v>
      </c>
      <c r="C22" s="147">
        <v>264.67359999999996</v>
      </c>
      <c r="D22" s="147">
        <v>255.40959999999998</v>
      </c>
      <c r="E22" s="147">
        <v>246.76959999999997</v>
      </c>
      <c r="F22" s="147">
        <v>238.12960000000001</v>
      </c>
      <c r="G22" s="147">
        <v>218.35360000000003</v>
      </c>
      <c r="H22" s="147">
        <v>212.40159999999997</v>
      </c>
      <c r="I22" s="147">
        <v>238.16799999999998</v>
      </c>
      <c r="J22" s="147">
        <v>196.75359999999998</v>
      </c>
      <c r="K22" s="147">
        <v>190.66719999999998</v>
      </c>
    </row>
    <row r="23" spans="1:11" x14ac:dyDescent="0.2">
      <c r="A23" s="149" t="s">
        <v>71</v>
      </c>
      <c r="B23" s="149" t="s">
        <v>71</v>
      </c>
      <c r="C23" s="147">
        <v>221.32159999999999</v>
      </c>
      <c r="D23" s="147">
        <v>212.05760000000001</v>
      </c>
      <c r="E23" s="147">
        <v>203.41760000000002</v>
      </c>
      <c r="F23" s="147">
        <v>194.77760000000004</v>
      </c>
      <c r="G23" s="147">
        <v>175.9616</v>
      </c>
      <c r="H23" s="147">
        <v>170.00959999999998</v>
      </c>
      <c r="I23" s="147">
        <v>194.81599999999997</v>
      </c>
      <c r="J23" s="147">
        <v>154.36160000000001</v>
      </c>
      <c r="K23" s="147">
        <v>148.27520000000001</v>
      </c>
    </row>
    <row r="24" spans="1:11" x14ac:dyDescent="0.2">
      <c r="A24" s="149" t="s">
        <v>72</v>
      </c>
      <c r="B24" s="149" t="s">
        <v>72</v>
      </c>
      <c r="C24" s="147">
        <v>209.60730000000001</v>
      </c>
      <c r="D24" s="147">
        <v>203.7388</v>
      </c>
      <c r="E24" s="147">
        <v>198.93729999999996</v>
      </c>
      <c r="F24" s="147">
        <v>195.11549999999997</v>
      </c>
      <c r="G24" s="147">
        <v>188.4128</v>
      </c>
      <c r="H24" s="147">
        <v>181.44819999999996</v>
      </c>
      <c r="I24" s="147">
        <v>191.76900000000001</v>
      </c>
      <c r="J24" s="147">
        <v>175.86099999999999</v>
      </c>
      <c r="K24" s="147">
        <v>165.66629999999998</v>
      </c>
    </row>
    <row r="25" spans="1:11" x14ac:dyDescent="0.2">
      <c r="A25" s="149" t="s">
        <v>73</v>
      </c>
      <c r="B25" s="149" t="s">
        <v>73</v>
      </c>
      <c r="C25" s="147">
        <v>262.21759999999995</v>
      </c>
      <c r="D25" s="147">
        <v>252.95359999999997</v>
      </c>
      <c r="E25" s="147">
        <v>244.31359999999998</v>
      </c>
      <c r="F25" s="147">
        <v>235.67359999999999</v>
      </c>
      <c r="G25" s="147">
        <v>215.41759999999999</v>
      </c>
      <c r="H25" s="147">
        <v>209.46559999999994</v>
      </c>
      <c r="I25" s="147">
        <v>235.71199999999996</v>
      </c>
      <c r="J25" s="147">
        <v>193.8176</v>
      </c>
      <c r="K25" s="147">
        <v>187.7312</v>
      </c>
    </row>
    <row r="26" spans="1:11" x14ac:dyDescent="0.2">
      <c r="A26" s="149" t="s">
        <v>74</v>
      </c>
      <c r="B26" s="149" t="s">
        <v>74</v>
      </c>
      <c r="C26" s="147">
        <v>148.45659999999998</v>
      </c>
      <c r="D26" s="147">
        <v>141.03659999999999</v>
      </c>
      <c r="E26" s="147">
        <v>131.59900000000002</v>
      </c>
      <c r="F26" s="147">
        <v>126.89620000000004</v>
      </c>
      <c r="G26" s="147">
        <v>112.11620000000001</v>
      </c>
      <c r="H26" s="147">
        <v>105.97180000000002</v>
      </c>
      <c r="I26" s="147">
        <v>120.7376</v>
      </c>
      <c r="J26" s="147">
        <v>91.001000000000019</v>
      </c>
      <c r="K26" s="147">
        <v>84.496200000000002</v>
      </c>
    </row>
    <row r="27" spans="1:11" x14ac:dyDescent="0.2">
      <c r="A27" s="149" t="s">
        <v>75</v>
      </c>
      <c r="B27" s="149" t="s">
        <v>75</v>
      </c>
      <c r="C27" s="147">
        <v>147.45659999999998</v>
      </c>
      <c r="D27" s="147">
        <v>140.03659999999999</v>
      </c>
      <c r="E27" s="147">
        <v>131.59900000000002</v>
      </c>
      <c r="F27" s="147">
        <v>125.89620000000004</v>
      </c>
      <c r="G27" s="147">
        <v>112.11620000000001</v>
      </c>
      <c r="H27" s="147">
        <v>104.97180000000002</v>
      </c>
      <c r="I27" s="147">
        <v>119.7376</v>
      </c>
      <c r="J27" s="147">
        <v>91.001000000000019</v>
      </c>
      <c r="K27" s="147">
        <v>83.496200000000002</v>
      </c>
    </row>
    <row r="28" spans="1:11" x14ac:dyDescent="0.2">
      <c r="A28" s="149" t="s">
        <v>76</v>
      </c>
      <c r="B28" s="149" t="s">
        <v>76</v>
      </c>
      <c r="C28" s="147">
        <v>114.0864</v>
      </c>
      <c r="D28" s="147">
        <v>107.3664</v>
      </c>
      <c r="E28" s="147">
        <v>99.887999999999991</v>
      </c>
      <c r="F28" s="147">
        <v>95.596800000000002</v>
      </c>
      <c r="G28" s="147">
        <v>85.132800000000003</v>
      </c>
      <c r="H28" s="147">
        <v>79.536000000000001</v>
      </c>
      <c r="I28" s="147">
        <v>90.988799999999998</v>
      </c>
      <c r="J28" s="147">
        <v>67.391999999999996</v>
      </c>
      <c r="K28" s="147">
        <v>64.185599999999994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15"/>
  <sheetViews>
    <sheetView workbookViewId="0">
      <selection activeCell="F9" sqref="F9"/>
    </sheetView>
  </sheetViews>
  <sheetFormatPr defaultRowHeight="12.75" x14ac:dyDescent="0.2"/>
  <cols>
    <col min="1" max="1" width="1.7109375" bestFit="1" customWidth="1"/>
    <col min="3" max="3" width="13.28515625" customWidth="1"/>
    <col min="4" max="4" width="16.85546875" bestFit="1" customWidth="1"/>
    <col min="6" max="6" width="10.140625" customWidth="1"/>
    <col min="9" max="9" width="17" bestFit="1" customWidth="1"/>
    <col min="10" max="10" width="17" customWidth="1"/>
  </cols>
  <sheetData>
    <row r="1" spans="1:11" ht="15.75" x14ac:dyDescent="0.25">
      <c r="A1" s="32"/>
      <c r="B1" s="37" t="s">
        <v>105</v>
      </c>
      <c r="C1" s="38"/>
      <c r="D1" s="33"/>
      <c r="E1" s="33"/>
      <c r="F1" s="33"/>
      <c r="G1" s="36"/>
      <c r="H1" s="39"/>
      <c r="I1" s="34"/>
      <c r="J1" s="34"/>
    </row>
    <row r="2" spans="1:11" x14ac:dyDescent="0.2">
      <c r="A2" s="32"/>
      <c r="D2" s="33"/>
      <c r="E2" s="33"/>
      <c r="F2" s="33"/>
      <c r="G2" s="33"/>
      <c r="H2" s="33"/>
      <c r="I2" s="34"/>
      <c r="J2" s="34"/>
    </row>
    <row r="3" spans="1:11" x14ac:dyDescent="0.2">
      <c r="A3" s="32" t="s">
        <v>106</v>
      </c>
      <c r="B3" s="35" t="s">
        <v>107</v>
      </c>
      <c r="D3" s="35"/>
      <c r="E3" s="33"/>
      <c r="F3" s="33"/>
      <c r="G3" s="33"/>
      <c r="H3" s="33" t="s">
        <v>108</v>
      </c>
      <c r="I3" s="40">
        <f>'Fee Quote'!E18</f>
        <v>0</v>
      </c>
      <c r="J3" s="40"/>
    </row>
    <row r="4" spans="1:11" x14ac:dyDescent="0.2">
      <c r="A4" s="32"/>
      <c r="E4" s="33"/>
      <c r="F4" s="33"/>
      <c r="G4" s="33"/>
      <c r="H4" s="33"/>
      <c r="I4" s="34"/>
      <c r="J4" s="34"/>
    </row>
    <row r="5" spans="1:11" x14ac:dyDescent="0.2">
      <c r="A5" s="32"/>
      <c r="B5" s="35"/>
      <c r="D5" s="35"/>
      <c r="E5" s="33"/>
      <c r="F5" s="33" t="s">
        <v>109</v>
      </c>
      <c r="G5" s="33"/>
      <c r="H5" s="33" t="s">
        <v>108</v>
      </c>
      <c r="I5" s="40">
        <f>(IF(I3=0,0,IF(I3&lt;10000.01,10000,IF(I3&gt;10000,(CEILING(I3,1000)),0))))</f>
        <v>0</v>
      </c>
      <c r="J5" s="40"/>
    </row>
    <row r="6" spans="1:11" x14ac:dyDescent="0.2">
      <c r="A6" s="32"/>
      <c r="B6" s="35"/>
      <c r="D6" s="35"/>
      <c r="E6" s="33"/>
      <c r="F6" s="33"/>
      <c r="G6" s="33"/>
      <c r="H6" s="33"/>
      <c r="I6" s="40"/>
      <c r="J6" s="40"/>
    </row>
    <row r="7" spans="1:11" x14ac:dyDescent="0.2">
      <c r="A7" s="32" t="s">
        <v>106</v>
      </c>
      <c r="B7" s="35" t="s">
        <v>110</v>
      </c>
      <c r="D7" s="35"/>
      <c r="E7" s="33"/>
      <c r="F7" s="33"/>
      <c r="G7" s="33"/>
      <c r="H7" s="33"/>
      <c r="I7" s="40"/>
      <c r="J7" s="40"/>
    </row>
    <row r="8" spans="1:11" x14ac:dyDescent="0.2">
      <c r="A8" s="32"/>
      <c r="E8" s="33"/>
      <c r="F8" s="33"/>
      <c r="G8" s="33"/>
      <c r="H8" s="33"/>
      <c r="I8" s="34"/>
      <c r="J8" s="34"/>
    </row>
    <row r="9" spans="1:11" x14ac:dyDescent="0.2">
      <c r="A9" s="32"/>
      <c r="C9" t="s">
        <v>111</v>
      </c>
      <c r="D9" s="41">
        <f>(IF(I5=0,0,IF(I5&lt;'Permit Fees New WIP'!A2,I5,IF(I5&lt;'Permit Fees New WIP'!A3,'Permit Fees New WIP'!E2,IF(I5&lt;'Permit Fees New WIP'!A4,'Permit Fees New WIP'!E3,IF(I5&lt;'Permit Fees New WIP'!A5,'Permit Fees New WIP'!E4,IF(I5&lt;'Permit Fees New WIP'!A6,'Permit Fees New WIP'!E5,IF(I5&lt;'Permit Fees New WIP'!A7,'Permit Fees New WIP'!E6,IF(I5&lt;'Permit Fees New WIP'!A8,'Permit Fees New WIP'!E7,0)))))))))</f>
        <v>0</v>
      </c>
      <c r="E9" s="33" t="s">
        <v>112</v>
      </c>
      <c r="F9" s="42">
        <f>(IF(D9='Permit Fees New WIP'!E2,'Permit Fees New WIP'!B3,IF(D9='Permit Fees New WIP'!E3,'Permit Fees New WIP'!B4,IF(D9='Permit Fees New WIP'!E4,'Permit Fees New WIP'!B5,IF(D9='Permit Fees New WIP'!E5,'Permit Fees New WIP'!B6,IF(D9='Permit Fees New WIP'!E6,'Permit Fees New WIP'!B7,IF(D9='Permit Fees New WIP'!E7,'Permit Fees New WIP'!B8,IF(D9='Permit Fees New WIP'!E8,'Permit Fees New WIP'!B9,0))))))))</f>
        <v>0</v>
      </c>
      <c r="G9" s="33"/>
      <c r="H9" s="33" t="s">
        <v>108</v>
      </c>
      <c r="I9" s="34">
        <f>F9</f>
        <v>0</v>
      </c>
      <c r="J9" s="34"/>
    </row>
    <row r="10" spans="1:11" x14ac:dyDescent="0.2">
      <c r="A10" s="32"/>
      <c r="C10" t="s">
        <v>113</v>
      </c>
      <c r="D10" s="41">
        <f>(IF(I3&lt;'Permit Fees New WIP'!A2,0,IF(I3&gt;'Permit Fees New WIP'!E2,(I5-D9))))</f>
        <v>0</v>
      </c>
      <c r="E10" s="33" t="s">
        <v>112</v>
      </c>
      <c r="F10" s="42">
        <f>(IF(D9='Permit Fees New WIP'!E2,'Permit Fees New WIP'!C3,IF(D9='Permit Fees New WIP'!E3,'Permit Fees New WIP'!C4,IF(D9='Permit Fees New WIP'!E4,'Permit Fees New WIP'!C5,IF(D9='Permit Fees New WIP'!E5,'Permit Fees New WIP'!C6,IF(D9='Permit Fees New WIP'!E6,'Permit Fees New WIP'!C7,IF(D9='Permit Fees New WIP'!E7,'Permit Fees New WIP'!C8,0)))))))</f>
        <v>0</v>
      </c>
      <c r="G10" s="33" t="s">
        <v>164</v>
      </c>
      <c r="H10" s="33" t="s">
        <v>108</v>
      </c>
      <c r="I10" s="34">
        <f>(IF(I3&lt;'Permit Fees New WIP'!A2,(D10*F10/100),IF(I3&gt;'Permit Fees New WIP'!E2,(D10*F10/1000),0)))*K10</f>
        <v>0</v>
      </c>
      <c r="J10" s="34">
        <f>(D9+D10)</f>
        <v>0</v>
      </c>
      <c r="K10">
        <f>IF($J$10&lt;'Permit Fees New WIP'!A8,1,0)</f>
        <v>1</v>
      </c>
    </row>
    <row r="11" spans="1:11" x14ac:dyDescent="0.2">
      <c r="A11" s="32"/>
      <c r="E11" s="33"/>
      <c r="F11" s="33"/>
      <c r="G11" s="33"/>
      <c r="H11" s="33"/>
      <c r="I11" s="34"/>
      <c r="J11" s="34"/>
    </row>
    <row r="12" spans="1:11" x14ac:dyDescent="0.2">
      <c r="A12" s="32" t="s">
        <v>106</v>
      </c>
      <c r="B12" s="35" t="s">
        <v>114</v>
      </c>
      <c r="E12" s="33"/>
      <c r="F12" s="33"/>
      <c r="G12" s="33"/>
      <c r="H12" s="33" t="s">
        <v>108</v>
      </c>
      <c r="I12" s="40">
        <f>IF(I3&lt;'Permit Fees New WIP'!E2,'Permit Fees New WIP'!B2,SUM(I9:I10))</f>
        <v>100</v>
      </c>
      <c r="J12" s="40"/>
    </row>
    <row r="13" spans="1:11" x14ac:dyDescent="0.2">
      <c r="A13" s="32"/>
      <c r="E13" s="33"/>
      <c r="F13" s="33"/>
      <c r="G13" s="33"/>
      <c r="H13" s="33"/>
      <c r="I13" s="34"/>
      <c r="J13" s="34"/>
    </row>
    <row r="14" spans="1:11" x14ac:dyDescent="0.2">
      <c r="A14" s="32" t="s">
        <v>106</v>
      </c>
      <c r="B14" s="35" t="s">
        <v>115</v>
      </c>
      <c r="D14" s="34">
        <f>IF(I3&lt;10001,0,I12)</f>
        <v>0</v>
      </c>
      <c r="E14" s="33" t="s">
        <v>112</v>
      </c>
      <c r="F14" s="43">
        <v>65</v>
      </c>
      <c r="G14" s="33" t="s">
        <v>116</v>
      </c>
      <c r="H14" s="33" t="s">
        <v>108</v>
      </c>
      <c r="I14" s="40">
        <f>IF(I3&lt;10001,0,(D14*F14/100))</f>
        <v>0</v>
      </c>
      <c r="J14" s="40"/>
    </row>
    <row r="15" spans="1:11" x14ac:dyDescent="0.2">
      <c r="A15" s="32"/>
      <c r="E15" s="33"/>
      <c r="F15" s="33"/>
      <c r="G15" s="33"/>
      <c r="H15" s="33"/>
      <c r="I15" s="34"/>
      <c r="J15" s="3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9"/>
  <sheetViews>
    <sheetView workbookViewId="0">
      <selection activeCell="A8" sqref="A8"/>
    </sheetView>
  </sheetViews>
  <sheetFormatPr defaultRowHeight="12.75" x14ac:dyDescent="0.2"/>
  <cols>
    <col min="1" max="1" width="19.28515625" bestFit="1" customWidth="1"/>
    <col min="2" max="2" width="10.7109375" bestFit="1" customWidth="1"/>
    <col min="3" max="3" width="9.140625" bestFit="1" customWidth="1"/>
    <col min="4" max="4" width="5" bestFit="1" customWidth="1"/>
    <col min="5" max="5" width="18.7109375" bestFit="1" customWidth="1"/>
  </cols>
  <sheetData>
    <row r="1" spans="1:5" x14ac:dyDescent="0.2">
      <c r="A1" s="20" t="s">
        <v>125</v>
      </c>
      <c r="B1" s="20" t="s">
        <v>33</v>
      </c>
      <c r="C1" s="20" t="s">
        <v>123</v>
      </c>
      <c r="D1" s="20" t="s">
        <v>124</v>
      </c>
    </row>
    <row r="2" spans="1:5" x14ac:dyDescent="0.2">
      <c r="A2" s="50">
        <v>10001</v>
      </c>
      <c r="B2" s="25">
        <v>100</v>
      </c>
      <c r="E2" s="134">
        <f>A2-1</f>
        <v>10000</v>
      </c>
    </row>
    <row r="3" spans="1:5" x14ac:dyDescent="0.2">
      <c r="A3" s="50">
        <v>25001</v>
      </c>
      <c r="B3" s="25">
        <v>294</v>
      </c>
      <c r="C3" s="51">
        <v>18</v>
      </c>
      <c r="D3" s="20">
        <v>1000</v>
      </c>
      <c r="E3" s="134">
        <f t="shared" ref="E3:E8" si="0">A3-1</f>
        <v>25000</v>
      </c>
    </row>
    <row r="4" spans="1:5" x14ac:dyDescent="0.2">
      <c r="A4" s="50">
        <v>50001</v>
      </c>
      <c r="B4" s="25">
        <v>564</v>
      </c>
      <c r="C4" s="51">
        <v>14</v>
      </c>
      <c r="D4" s="20">
        <v>1000</v>
      </c>
      <c r="E4" s="134">
        <f t="shared" si="0"/>
        <v>50000</v>
      </c>
    </row>
    <row r="5" spans="1:5" x14ac:dyDescent="0.2">
      <c r="A5" s="50">
        <v>100001</v>
      </c>
      <c r="B5" s="25">
        <v>914</v>
      </c>
      <c r="C5" s="51">
        <v>10</v>
      </c>
      <c r="D5" s="20">
        <v>1000</v>
      </c>
      <c r="E5" s="134">
        <f t="shared" si="0"/>
        <v>100000</v>
      </c>
    </row>
    <row r="6" spans="1:5" x14ac:dyDescent="0.2">
      <c r="A6" s="50">
        <v>500001</v>
      </c>
      <c r="B6" s="25">
        <v>1416</v>
      </c>
      <c r="C6" s="51">
        <v>8</v>
      </c>
      <c r="D6" s="20">
        <v>1000</v>
      </c>
      <c r="E6" s="134">
        <f t="shared" si="0"/>
        <v>500000</v>
      </c>
    </row>
    <row r="7" spans="1:5" x14ac:dyDescent="0.2">
      <c r="A7" s="50">
        <v>1000001</v>
      </c>
      <c r="B7" s="25">
        <v>4616</v>
      </c>
      <c r="C7" s="25">
        <v>7</v>
      </c>
      <c r="D7" s="20">
        <v>1000</v>
      </c>
      <c r="E7" s="134">
        <f t="shared" si="0"/>
        <v>1000000</v>
      </c>
    </row>
    <row r="8" spans="1:5" x14ac:dyDescent="0.2">
      <c r="A8" s="50">
        <v>999999999999</v>
      </c>
      <c r="B8" s="25">
        <v>8116</v>
      </c>
      <c r="C8" s="25">
        <v>3</v>
      </c>
      <c r="D8" s="20">
        <v>1000</v>
      </c>
      <c r="E8" s="134">
        <f t="shared" si="0"/>
        <v>999999999998</v>
      </c>
    </row>
    <row r="9" spans="1:5" x14ac:dyDescent="0.2">
      <c r="A9" s="50"/>
      <c r="B9" s="25"/>
      <c r="C9" s="25"/>
      <c r="D9"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Fee Quote</vt:lpstr>
      <vt:lpstr>List</vt:lpstr>
      <vt:lpstr>Impact Fee</vt:lpstr>
      <vt:lpstr>Valuation Table</vt:lpstr>
      <vt:lpstr>Permit Fees</vt:lpstr>
      <vt:lpstr>Permit Fees New WIP</vt:lpstr>
      <vt:lpstr>Area</vt:lpstr>
      <vt:lpstr>'Fee Quote'!Print_Area</vt:lpstr>
      <vt:lpstr>Type</vt:lpstr>
    </vt:vector>
  </TitlesOfParts>
  <Company>City of Surprise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Mireya Donahue</dc:creator>
  <cp:lastModifiedBy>Rachael Golbach</cp:lastModifiedBy>
  <cp:lastPrinted>2024-08-26T22:40:07Z</cp:lastPrinted>
  <dcterms:created xsi:type="dcterms:W3CDTF">2007-08-02T18:27:13Z</dcterms:created>
  <dcterms:modified xsi:type="dcterms:W3CDTF">2024-10-24T21:02:42Z</dcterms:modified>
</cp:coreProperties>
</file>